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4\Obras\Pregão 31-2024 - Construção Policlínica - 1Doc 5197-2024\"/>
    </mc:Choice>
  </mc:AlternateContent>
  <bookViews>
    <workbookView xWindow="0" yWindow="0" windowWidth="24000" windowHeight="9735" activeTab="1"/>
  </bookViews>
  <sheets>
    <sheet name="CRONOGRAMA" sheetId="8" r:id="rId1"/>
    <sheet name="Plan3 - ATUALIZADA" sheetId="5" r:id="rId2"/>
    <sheet name="MEMORIA CALCULO SERVIÇOS EXTRAS" sheetId="6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0">CRONOGRAMA!$A$1:$G$40</definedName>
    <definedName name="_xlnm.Print_Area" localSheetId="1">'Plan3 - ATUALIZADA'!$A$1:$J$186</definedName>
    <definedName name="_xlnm.Database">TEXT(Import.DataBase,"mm-aaaa")</definedName>
    <definedName name="Dados.Lista.BDI">[1]DADOS!$T$37:$X$37</definedName>
    <definedName name="Import.DataBase">[1]DADOS!$A$38</definedName>
    <definedName name="Nível" localSheetId="0">[2]Eventograma_e_Quantitativos!$C1</definedName>
    <definedName name="Nível" localSheetId="2">[2]Eventograma_e_Quantitativos!$C1</definedName>
    <definedName name="Nível" localSheetId="1">[2]Eventograma_e_Quantitativos!$C1</definedName>
    <definedName name="PO.CustoUnitario" localSheetId="0">ROUND(CRONOGRAMA!$F1,15-13*CRONOGRAMA!#REF!)</definedName>
    <definedName name="PO.CustoUnitario" localSheetId="1">ROUND('Plan3 - ATUALIZADA'!$L1,15-13*'Plan3 - ATUALIZADA'!#REF!)</definedName>
    <definedName name="PO.CustoUnitario">ROUND(#REF!,15-13*#REF!)</definedName>
    <definedName name="PO.PrecoUnitario" localSheetId="0">ROUND(CRONOGRAMA!#REF!,15-13*CRONOGRAMA!#REF!)</definedName>
    <definedName name="PO.PrecoUnitario" localSheetId="1">ROUND('Plan3 - ATUALIZADA'!$N1,15-13*'Plan3 - ATUALIZADA'!#REF!)</definedName>
    <definedName name="PO.PrecoUnitario">ROUND(#REF!,15-13*#REF!)</definedName>
    <definedName name="PO.Quantidade" localSheetId="0">ROUND(CRONOGRAMA!$E1,15-13*CRONOGRAMA!$K$10)</definedName>
    <definedName name="PO.Quantidade" localSheetId="1">ROUND('Plan3 - ATUALIZADA'!$K1,15-13*'Plan3 - ATUALIZADA'!$S$10)</definedName>
    <definedName name="PO.Quantidade">ROUND(#REF!,15-13*#REF!)</definedName>
    <definedName name="Referencia.Unidade" localSheetId="0">#N/A</definedName>
    <definedName name="Referencia.Unidade" localSheetId="1">#N/A</definedName>
    <definedName name="Referencia.Unidade">IF(ISNUMBER([1]PO!linhaSINAPIxls),INDEX(INDIRECT("'[Referência "&amp;_xlnm.Database&amp;".xls]Banco'!$b:$g"),[1]PO!linhaSINAPIxls,4),"")</definedName>
    <definedName name="SomaAgrup" localSheetId="0">SUMIF(OFFSET(CRONOGRAMA!$A1,1,0,CRONOGRAMA!$B1),"S",OFFSET(CRONOGRAMA!A1,1,0,CRONOGRAMA!$B1))</definedName>
    <definedName name="SomaAgrup" localSheetId="1">SUMIF(OFFSET('Plan3 - ATUALIZADA'!$A1,1,0,'Plan3 - ATUALIZADA'!$D1),"S",OFFSET('Plan3 - ATUALIZADA'!A1,1,0,'Plan3 - ATUALIZADA'!$D1))</definedName>
    <definedName name="SomaAgrup">SUMIF(OFFSET(#REF!,1,0,#REF!),"S",OFFSET(#REF!,1,0,#REF!))</definedName>
    <definedName name="TipoOrçamento">"BASE"</definedName>
    <definedName name="TituloEventos">OFFSET([3]DADOS!$J$33,1,0):OFFSET([3]DADOS!$J$71,-1,0)</definedName>
    <definedName name="VTOTAL1" localSheetId="0">ROUND(CRONOGRAMA!PO.Quantidade*CRONOGRAMA!PO.PrecoUnitario,15-13*CRONOGRAMA!#REF!)</definedName>
    <definedName name="VTOTAL1" localSheetId="1">ROUND('Plan3 - ATUALIZADA'!PO.Quantidade*'Plan3 - ATUALIZADA'!PO.PrecoUnitario,15-13*'Plan3 - ATUALIZADA'!#REF!)</definedName>
    <definedName name="VTOTAL1">ROUND(PO.Quantidade*PO.PrecoUnitario,15-13*#REF!)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8" l="1"/>
  <c r="G28" i="8"/>
  <c r="F28" i="8"/>
  <c r="G27" i="8"/>
  <c r="F27" i="8"/>
  <c r="G26" i="8"/>
  <c r="F26" i="8"/>
  <c r="E26" i="8"/>
  <c r="F32" i="8"/>
  <c r="G30" i="8"/>
  <c r="G20" i="8"/>
  <c r="E17" i="8"/>
  <c r="G17" i="8" s="1"/>
  <c r="E16" i="8"/>
  <c r="G16" i="8" s="1"/>
  <c r="F14" i="8"/>
  <c r="E11" i="8"/>
  <c r="C32" i="8"/>
  <c r="C31" i="8"/>
  <c r="D31" i="8" s="1"/>
  <c r="C30" i="8"/>
  <c r="C29" i="8"/>
  <c r="C28" i="8"/>
  <c r="C27" i="8"/>
  <c r="C26" i="8"/>
  <c r="C25" i="8"/>
  <c r="D25" i="8" s="1"/>
  <c r="C24" i="8"/>
  <c r="D24" i="8" s="1"/>
  <c r="C22" i="8"/>
  <c r="G22" i="8" s="1"/>
  <c r="C21" i="8"/>
  <c r="E21" i="8" s="1"/>
  <c r="C20" i="8"/>
  <c r="C19" i="8"/>
  <c r="D19" i="8" s="1"/>
  <c r="C18" i="8"/>
  <c r="E18" i="8" s="1"/>
  <c r="C17" i="8"/>
  <c r="C16" i="8"/>
  <c r="C15" i="8"/>
  <c r="E15" i="8" s="1"/>
  <c r="C14" i="8"/>
  <c r="C13" i="8"/>
  <c r="F13" i="8" s="1"/>
  <c r="C12" i="8"/>
  <c r="D12" i="8" s="1"/>
  <c r="C11" i="8"/>
  <c r="D33" i="8" l="1"/>
  <c r="F33" i="8"/>
  <c r="E33" i="8"/>
  <c r="G33" i="8"/>
  <c r="C33" i="8"/>
  <c r="H17" i="5" l="1"/>
  <c r="G110" i="5" l="1"/>
  <c r="G36" i="5"/>
  <c r="G33" i="5"/>
  <c r="G17" i="5"/>
  <c r="I178" i="5"/>
  <c r="I174" i="5"/>
  <c r="F177" i="5"/>
  <c r="H177" i="5"/>
  <c r="F175" i="5"/>
  <c r="H175" i="5"/>
  <c r="F176" i="5"/>
  <c r="I176" i="5" s="1"/>
  <c r="I177" i="5" l="1"/>
  <c r="I175" i="5"/>
  <c r="I125" i="5"/>
  <c r="F131" i="5"/>
  <c r="I131" i="5" s="1"/>
  <c r="I30" i="5"/>
  <c r="H173" i="5" l="1"/>
  <c r="I173" i="5" s="1"/>
  <c r="I172" i="5" s="1"/>
  <c r="F122" i="5" l="1"/>
  <c r="H122" i="5"/>
  <c r="H121" i="5"/>
  <c r="I121" i="5" s="1"/>
  <c r="I122" i="5" l="1"/>
  <c r="H16" i="5"/>
  <c r="H15" i="5"/>
  <c r="H13" i="5"/>
  <c r="I13" i="5" s="1"/>
  <c r="H12" i="5"/>
  <c r="H112" i="5"/>
  <c r="H108" i="5"/>
  <c r="H107" i="5"/>
  <c r="H106" i="5"/>
  <c r="H105" i="5"/>
  <c r="H104" i="5"/>
  <c r="H102" i="5"/>
  <c r="H101" i="5"/>
  <c r="H100" i="5"/>
  <c r="H99" i="5"/>
  <c r="H98" i="5"/>
  <c r="H97" i="5"/>
  <c r="H96" i="5"/>
  <c r="H95" i="5"/>
  <c r="H93" i="5"/>
  <c r="H92" i="5"/>
  <c r="H91" i="5"/>
  <c r="H90" i="5"/>
  <c r="H89" i="5"/>
  <c r="H88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5" i="5"/>
  <c r="H34" i="5"/>
  <c r="H32" i="5"/>
  <c r="H29" i="5"/>
  <c r="H28" i="5"/>
  <c r="H27" i="5"/>
  <c r="H26" i="5"/>
  <c r="H25" i="5"/>
  <c r="H23" i="5"/>
  <c r="H21" i="5"/>
  <c r="I12" i="5"/>
  <c r="H171" i="5" l="1"/>
  <c r="I171" i="5" s="1"/>
  <c r="I170" i="5" s="1"/>
  <c r="H130" i="5"/>
  <c r="I130" i="5" s="1"/>
  <c r="H169" i="5"/>
  <c r="I169" i="5" s="1"/>
  <c r="H168" i="5"/>
  <c r="I168" i="5" l="1"/>
  <c r="I167" i="5" s="1"/>
  <c r="F166" i="5" l="1"/>
  <c r="F165" i="5"/>
  <c r="F164" i="5"/>
  <c r="F163" i="5"/>
  <c r="F161" i="5"/>
  <c r="F159" i="5"/>
  <c r="F158" i="5"/>
  <c r="F157" i="5"/>
  <c r="F156" i="5"/>
  <c r="F155" i="5"/>
  <c r="F154" i="5"/>
  <c r="D35" i="6"/>
  <c r="D34" i="6"/>
  <c r="D33" i="6"/>
  <c r="D32" i="6"/>
  <c r="D30" i="6"/>
  <c r="D28" i="6"/>
  <c r="D27" i="6"/>
  <c r="D26" i="6"/>
  <c r="D25" i="6"/>
  <c r="D24" i="6"/>
  <c r="D23" i="6"/>
  <c r="D17" i="6"/>
  <c r="H166" i="5"/>
  <c r="H165" i="5"/>
  <c r="H164" i="5"/>
  <c r="H163" i="5"/>
  <c r="H161" i="5"/>
  <c r="H159" i="5"/>
  <c r="H158" i="5"/>
  <c r="H157" i="5"/>
  <c r="H156" i="5"/>
  <c r="H155" i="5"/>
  <c r="H154" i="5"/>
  <c r="F148" i="5"/>
  <c r="F146" i="5"/>
  <c r="F145" i="5"/>
  <c r="F144" i="5"/>
  <c r="F143" i="5"/>
  <c r="D15" i="6"/>
  <c r="D14" i="6"/>
  <c r="D13" i="6"/>
  <c r="D12" i="6"/>
  <c r="F141" i="5"/>
  <c r="D10" i="6"/>
  <c r="F139" i="5"/>
  <c r="D6" i="6"/>
  <c r="F137" i="5" s="1"/>
  <c r="D3" i="6"/>
  <c r="D4" i="6" s="1"/>
  <c r="D5" i="6" s="1"/>
  <c r="B8" i="6"/>
  <c r="I166" i="5" l="1"/>
  <c r="I164" i="5"/>
  <c r="I159" i="5"/>
  <c r="I158" i="5"/>
  <c r="I163" i="5"/>
  <c r="I161" i="5"/>
  <c r="I165" i="5"/>
  <c r="I157" i="5"/>
  <c r="I156" i="5"/>
  <c r="I155" i="5"/>
  <c r="I154" i="5"/>
  <c r="F134" i="5"/>
  <c r="F136" i="5"/>
  <c r="D7" i="6"/>
  <c r="F138" i="5" s="1"/>
  <c r="F135" i="5"/>
  <c r="I152" i="5" l="1"/>
  <c r="F128" i="5"/>
  <c r="F129" i="5"/>
  <c r="H150" i="5"/>
  <c r="I150" i="5" s="1"/>
  <c r="H148" i="5"/>
  <c r="I148" i="5" s="1"/>
  <c r="H146" i="5"/>
  <c r="I146" i="5" s="1"/>
  <c r="H145" i="5"/>
  <c r="I145" i="5" s="1"/>
  <c r="H144" i="5"/>
  <c r="I144" i="5" s="1"/>
  <c r="H143" i="5"/>
  <c r="I143" i="5" s="1"/>
  <c r="H141" i="5"/>
  <c r="I141" i="5" s="1"/>
  <c r="H139" i="5"/>
  <c r="I139" i="5" s="1"/>
  <c r="H138" i="5"/>
  <c r="I138" i="5" s="1"/>
  <c r="H137" i="5"/>
  <c r="I137" i="5" s="1"/>
  <c r="H136" i="5"/>
  <c r="I136" i="5" s="1"/>
  <c r="H135" i="5"/>
  <c r="I135" i="5" s="1"/>
  <c r="H134" i="5"/>
  <c r="I134" i="5" s="1"/>
  <c r="H151" i="5"/>
  <c r="I151" i="5" s="1"/>
  <c r="H110" i="5"/>
  <c r="H36" i="5"/>
  <c r="I132" i="5" l="1"/>
  <c r="H129" i="5"/>
  <c r="I129" i="5" s="1"/>
  <c r="H128" i="5" l="1"/>
  <c r="I128" i="5" s="1"/>
  <c r="H127" i="5" l="1"/>
  <c r="I127" i="5" s="1"/>
  <c r="H126" i="5"/>
  <c r="I126" i="5" s="1"/>
  <c r="F124" i="5"/>
  <c r="H124" i="5"/>
  <c r="I124" i="5" s="1"/>
  <c r="F117" i="5"/>
  <c r="F118" i="5" s="1"/>
  <c r="F119" i="5" s="1"/>
  <c r="F116" i="5"/>
  <c r="H120" i="5"/>
  <c r="H119" i="5"/>
  <c r="H118" i="5"/>
  <c r="H117" i="5"/>
  <c r="H116" i="5"/>
  <c r="I112" i="5"/>
  <c r="I111" i="5" s="1"/>
  <c r="I110" i="5"/>
  <c r="I109" i="5" s="1"/>
  <c r="I108" i="5"/>
  <c r="I107" i="5"/>
  <c r="I106" i="5"/>
  <c r="I105" i="5"/>
  <c r="I104" i="5"/>
  <c r="I102" i="5"/>
  <c r="I101" i="5"/>
  <c r="I100" i="5"/>
  <c r="I99" i="5"/>
  <c r="I98" i="5"/>
  <c r="I97" i="5"/>
  <c r="I96" i="5"/>
  <c r="I95" i="5"/>
  <c r="I93" i="5"/>
  <c r="I92" i="5"/>
  <c r="I91" i="5"/>
  <c r="I90" i="5"/>
  <c r="I89" i="5"/>
  <c r="I88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29" i="5"/>
  <c r="I28" i="5"/>
  <c r="I27" i="5"/>
  <c r="I26" i="5"/>
  <c r="I25" i="5"/>
  <c r="I23" i="5"/>
  <c r="I22" i="5" s="1"/>
  <c r="I21" i="5"/>
  <c r="I20" i="5"/>
  <c r="I19" i="5"/>
  <c r="I17" i="5"/>
  <c r="I16" i="5"/>
  <c r="I15" i="5"/>
  <c r="I116" i="5" l="1"/>
  <c r="I118" i="5"/>
  <c r="I123" i="5"/>
  <c r="I120" i="5"/>
  <c r="I119" i="5"/>
  <c r="I117" i="5"/>
  <c r="I18" i="5"/>
  <c r="I11" i="5"/>
  <c r="I31" i="5"/>
  <c r="I55" i="5"/>
  <c r="I87" i="5"/>
  <c r="I103" i="5"/>
  <c r="I14" i="5"/>
  <c r="I24" i="5"/>
  <c r="I94" i="5"/>
  <c r="I115" i="5" l="1"/>
  <c r="I113" i="5"/>
  <c r="I179" i="5" l="1"/>
</calcChain>
</file>

<file path=xl/sharedStrings.xml><?xml version="1.0" encoding="utf-8"?>
<sst xmlns="http://schemas.openxmlformats.org/spreadsheetml/2006/main" count="898" uniqueCount="428">
  <si>
    <t>SINAPI</t>
  </si>
  <si>
    <t>PLACA DE OBRA (PARA CONSTRUCAO CIVIL) EM CHAPA GALVANIZADA *N. 22*, ADESIVADA, DE *2,0 X 1,125* M</t>
  </si>
  <si>
    <t>CPOS</t>
  </si>
  <si>
    <t>COBERTURA</t>
  </si>
  <si>
    <t>TELHAMENTO COM TELHA CERÂMICA DE ENCAIXE, TIPO PORTUGUESA, COM MAIS DE 2 ÁGUAS, INCLUSO TRANSPORTE VERTICAL. AF_06/2016</t>
  </si>
  <si>
    <t>CALHA EM CHAPA DE AÇO GALVANIZADO NÚMERO 24, DESENVOLVIMENTO DE 33 CM, INCLUSO TRANSPORTE VERTICAL. AF_06/2016</t>
  </si>
  <si>
    <t>ESQUADRIAS DE MADEIRA</t>
  </si>
  <si>
    <t>KIT DE PORTA DE MADEIRA PARA PINTURA, SEMI-OCA (LEVE OU MÉDIA), PADRÃO MÉDIO, 80X210CM, ESPESSURA DE 3,5CM, ITENS INCLUSOS: DOBRADIÇAS, MONTAGEM E INSTALAÇÃO DO BATENTE, FECHADURA COM EXECUÇÃO DO FURO - FORNECIMENTO E INSTALAÇÃO. AF_08/2015</t>
  </si>
  <si>
    <t>KIT DE PORTA DE MADEIRA PARA PINTURA, SEMI-OCA (LEVE OU MÉDIA), PADRÃO MÉDIO, 70X210CM, ESPESSURA DE 3,5CM, ITENS INCLUSOS: DOBRADIÇAS, MONTAGEM E INSTALAÇÃO DO BATENTE, FECHADURA COM EXECUÇÃO DO FURO - FORNECIMENTO E INSTALAÇÃO. AF_08/2015</t>
  </si>
  <si>
    <t>FDE</t>
  </si>
  <si>
    <t>PM-75 PORTA SARRAFEADA MACIÇA SANIT. ACESSIVEL BAT. MET.</t>
  </si>
  <si>
    <t>JANELA DE ALUMÍNIO DE CORRER, 2 FOLHAS, FIXAÇÃO COM PARAFUSO SOBRE CONTRAMARCO (EXCLUSIVE CONTRAMARCO), COM VIDROS PADRONIZADA. AF_07/2016</t>
  </si>
  <si>
    <t>JANELA DE ALUMÍNIO MAXIM-AR, FIXAÇÃO COM PARAFUSO SOBRE CONTRAMARCO (EXCLUSIVE CONTRAMARCO), COM VIDROS, PADRONIZADA. AF_07/2016</t>
  </si>
  <si>
    <t>SINAPI-I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</si>
  <si>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</si>
  <si>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MANUAL, APLICADA MANUALMENTE EM FACES INTERNAS DE PAREDES, ESPESSURA DE 20MM, COM EXECUÇÃO DE TALISCAS. AF_06/2014</t>
  </si>
  <si>
    <t>REVESTIMENTO CERÂMICO PARA PAREDES INTERNAS COM PLACAS TIPO ESMALTADA EXTRA DE DIMENSÕES 20X20 CM APLICADAS EM AMBIENTES DE ÁREA MAIOR QUE 5 M² A MEIA ALTURA DAS PAREDES. AF_06/2014</t>
  </si>
  <si>
    <t>COMPACTAÇÃO MECÂNICA DE SOLO PARA EXECUÇÃO DE RADIER, COM COMPACTADOR DE SOLOS A PERCUSSÃO. AF_09/2017</t>
  </si>
  <si>
    <t>LASTRO DE CONCRETO MAGRO, APLICADO EM PISOS OU RADIERS, ESPESSURA DE 5 CM. AF_07/2016</t>
  </si>
  <si>
    <t>CONTRAPISO EM ARGAMASSA TRAÇO 1:4 (CIMENTO E AREIA), PREPARO MANUAL, APLICADO EM ÁREAS SECAS SOBRE LAJE, ADERIDO, ESPESSURA 2CM. AF_06/2014</t>
  </si>
  <si>
    <t>PISO CIMENTADO, TRAÇO 1:3 (CIMENTO E AREIA), ACABAMENTO RÚSTICO, ESPESSURA 3,0 CM, PREPARO MECÂNICO DA ARGAMASSA. AF_06/2018</t>
  </si>
  <si>
    <t>EXECUÇÃO DE PASSEIO (CALÇADA) OU PISO DE CONCRETO COM CONCRETO MOLDADO IN LOCO, FEITO EM OBRA, ACABAMENTO CONVENCIONAL, NÃO ARMADO. AF_07/2016</t>
  </si>
  <si>
    <t>INSTALAÇÕES HIDRAULICAS</t>
  </si>
  <si>
    <t>CAIXA SIFONADA, PVC, DN 100 X 100 X 50 MM, FORNECIDA E INSTALADA EM RAMAIS DE ENCAMINHAMENTO DE ÁGUA PLUVIAL. AF_12/2014</t>
  </si>
  <si>
    <t>CAIXA DE GORDURA SIMPLES (CAPACIDADE: 36L), RETANGULAR, EM ALVENARIA COM TIJOLOS CERÂMICOS MACIÇOS, DIMENSÕES INTERNAS = 0,2X0,4 M, ALTURA INTERNA = 0,8 M. AF_05/2018</t>
  </si>
  <si>
    <t>RALO SIFONADO, PVC, DN 100 X 40 MM, JUNTA SOLDÁVEL, FORNECIDO E INSTALADO EM RAMAL DE DESCARGA OU EM RAMAL DE ESGOTO SANITÁRIO. AF_12/2014</t>
  </si>
  <si>
    <t>BR 03 - CONJUNTO LAVATÓRIO E BACIA ACESSIVEIS</t>
  </si>
  <si>
    <t>CJ</t>
  </si>
  <si>
    <t>REGISTRO DE ESFERA, PVC, ROSCÁVEL, 3/4", FORNECIDO E INSTALADO EM RAMAL DE ÁGUA. AF_03/2015</t>
  </si>
  <si>
    <t>REGISTRO PRESSAO COM ACABAMENTO E CANOPLA CROMADA, SIMPLES, BITOLA 3/4 " (REF 1416)</t>
  </si>
  <si>
    <t>REGISTRO GAVETA COM ACABAMENTO E CANOPLA CROMADOS, SIMPLES, BITOLA 3/4 " (REF 1509)</t>
  </si>
  <si>
    <t>REGISTRO GAVETA COM ACABAMENTO E CANOPLA CROMADOS, SIMPLES, BITOLA 1 " (REF 1509)</t>
  </si>
  <si>
    <t>TORNEIRA CROMADA DE MESA, 1/2" OU 3/4", PARA LAVATÓRIO, PADRÃO MÉDIO - FORNECIMENTO E INSTALAÇÃO. AF_12/2013</t>
  </si>
  <si>
    <t>TORNEIRA CROMADA 1/2 OU 3/4 PARA TANQUE, PADRÃO POPULAR - FORNECIMENTO E INSTALAÇÃO. AF_01/2020</t>
  </si>
  <si>
    <t>CAIXA ENTERRADA HIDRÁULICA RETANGULAR EM ALVENARIA COM TIJOLOS CERÂMICOS MACIÇOS, DIMENSÕES INTERNAS: 0,6X0,6X0,6 M PARA REDE DE ESGOTO. AF_05/2018</t>
  </si>
  <si>
    <t>VASO SANITARIO SIFONADO CONVENCIONAL COM LOUÇA BRANCA, INCLUSO CONJUNTO DE LIGAÇÃO PARA BACIA SANITÁRIA AJUSTÁVEL - FORNECIMENTO E INSTALAÇÃO. AF_10/2016</t>
  </si>
  <si>
    <t>VÁLVULA DE DESCARGA METÁLICA, BASE 1 1/2 ", ACABAMENTO METALICO CROMADO - FORNECIMENTO E INSTALAÇÃO. AF_01/2019</t>
  </si>
  <si>
    <t>CUBA DE EMBUTIR DE AÇO INOXIDÁVEL MÉDIA, INCLUSO VÁLVULA TIPO AMERICANA EM METAL CROMADO E SIFÃO FLEXÍVEL EM PVC - FORNECIMENTO E INSTALAÇÃO. AF_12/2013</t>
  </si>
  <si>
    <t>LAVATÓRIO LOUÇA BRANCA COM COLUNA, 45 X 55CM OU EQUIVALENTE, PADRÃO MÉDIO - FORNECIMENTO E INSTALAÇÃO. AF_12/2013</t>
  </si>
  <si>
    <t>TANQUE DE LOUÇA BRANCA COM COLUNA, 30L OU EQUIVALENTE - FORNECIMENTO E INSTALAÇÃO. AF_12/2013</t>
  </si>
  <si>
    <t>KIT CAVALETE PARA MEDIÇÃO DE ÁGUA - ENTRADA INDIVIDUALIZADA, EM PVC DN 32 (1), PARA 1 MEDIDOR  FORNECIMENTO E INSTALAÇÃO (EXCLUSIVE HIDRÔMETRO). AF_11/2016</t>
  </si>
  <si>
    <t>INSTALAÇÕES ELÉTRICAS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</si>
  <si>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</si>
  <si>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</si>
  <si>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CAIXA RETANGULAR 4" X 2" BAIXA (0,30 M DO PISO), PVC, INSTALADA E FORNECIDA</t>
  </si>
  <si>
    <t>TOMADA BAIXA DE EMBUTIR (1 MÓDULO), 2P+T 20 A, INCLUINDO SUPORTE E PLA</t>
  </si>
  <si>
    <t>TOMADA ALTA DE EMBUTIR (1 MÓDULO), 2P+T 20 A, INCLUINDO SUPORTE E PLACA - FORNECIMENTO E INSTALAÇÃO. AF_12/2015</t>
  </si>
  <si>
    <t>TOMADA MÉDIA DE EMBUTIR (1 MÓDULO), 2P+T 10 A, INCLUINDO SUPORTE E PLACA - FORNECIMENTO E INSTALAÇÃO. AF_12/2015</t>
  </si>
  <si>
    <t>TOMADA ALTA DE EMBUTIR (1 MÓDULO), 2P+T 20 A, SEM SUPORTE E SEM PLACA - FORNECIMENTO E INSTALAÇÃO. AF_12/2015</t>
  </si>
  <si>
    <t>CAIXA OCTOGONAL 4" X 4", PVC, INSTALADA EM LAJE - FORNECIMENTO E INSTA</t>
  </si>
  <si>
    <t>CABO DE COBRE FLEXÍVEL ISOLADO, 6 MM², ANTI-CHAMA 450/750 V,</t>
  </si>
  <si>
    <t>TOMADA PARA TELEFONE RJ11 - FORNECIMENTO E INSTALAÇÃO. AF_11/2019</t>
  </si>
  <si>
    <t>CABO DE COBRE FLEXÍVEL ISOLADO, 4 MM², ANTI-CHAMA 450/750 V,</t>
  </si>
  <si>
    <t>DISJUNTOR BIPOLAR TIPO DIN, CORRENTE NOMINAL DE 20A - FORNECIMENTO E INSTALAÇÃO. AF_04/2016</t>
  </si>
  <si>
    <t>INTERRUPTOR SIMPLES (1 MÓDULO), 10A/250V, INCLUINDO SUPORTE E PLACA - FORNECIMENTO E INSTALAÇÃO. AF_12/2015</t>
  </si>
  <si>
    <t>ELETRODUTO FLEXÍVEL CORRUGADO, PVC, DN 25 MM (3/4"), PARA CIRCUITOS TERMINAIS, INSTALADO EM PAREDE - FORNECIMENTO E INSTALAÇÃO. AF_12/2015</t>
  </si>
  <si>
    <t>ELETRODUTO FLEXÍVEL CORRUGADO, PVC, DN 32 MM (1"), PARA CIRCUITOS TERMINAIS, INSTALADO EM PAREDE - FORNECIMENTO E INSTALAÇÃO. AF_12/2015</t>
  </si>
  <si>
    <t>ELETRODUTO FLEXÍVEL CORRUGADO REFORÇADO, PVC, DN 25 MM (3/4"), PARA LAJE INSTALADO E FORNECIDO</t>
  </si>
  <si>
    <t>ELETRODUTO FLEXÍVEL CORRUGADO REFORÇADO, PVC, DN 32 MM (1"),</t>
  </si>
  <si>
    <t>ELETRODUTO FLEXÍVEL CORRUGADO, PVC, DN 32 MM (1"), PARA CIRCUITOS</t>
  </si>
  <si>
    <t>ELETRODUTO FLEXÍVEL CORRUGADO, PEAD, DN 50 (1 ½)</t>
  </si>
  <si>
    <t>DISJUNTOR MONOPOLAR TIPO DIN, CORRENTE NOMINAL DE 25A</t>
  </si>
  <si>
    <t>DISJUNTOR MONOPOLAR TIPO DIN, CORRENTE NOMINAL DE 20A -</t>
  </si>
  <si>
    <t>DISJUNTOR MONOPOLAR TIPO DIN, CORRENTE NOMINAL DE 10A -</t>
  </si>
  <si>
    <t>DISJUNTOR MONOPOLAR TIPO DIN, CORRENTE NOMINAL DE 32A -</t>
  </si>
  <si>
    <t>DISJUNTOR MONOPOLAR TIPO DIN, CORRENTE NOMINAL DE 16A -</t>
  </si>
  <si>
    <t>DISJUNTOR BIPOLAR TIPO DIN, CORRENTE NOMINAL DE 40A -</t>
  </si>
  <si>
    <t>DISJUNTOR BIPOLAR TIPO DIN, CORRENTE NOMINAL DE 16A</t>
  </si>
  <si>
    <t>LUMINÁRIA TIPO CALHA, DE SOBREPOR, COM 2 LÂMPADAS TUBULARES FLUORESCENTES DE 18 W, COM REATOR DE PARTIDA RÁPIDA - FORNECIMENTO E INSTALAÇÃO. AF_02/2020</t>
  </si>
  <si>
    <t>LUMINÁRIA TIPO PLAFON REDONDO COM VIDRO FOSCO, DE SOBREPOR, COM 1 LÂMPADA FLUORESCENTE DE 15 W, SEM REATOR - FORNECIMENTO E INSTALAÇÃO. AF_02/2020</t>
  </si>
  <si>
    <t>SPDA</t>
  </si>
  <si>
    <t xml:space="preserve">CAIXA DE INSPEÇÃO EM CONCRETO PARA ATERRAMENTOS E PARA RAIOS </t>
  </si>
  <si>
    <t>HASTE DE ATERRAMENTO EM AÇO 2M</t>
  </si>
  <si>
    <t>CORDOALHA DE COBRE NU 35MM NÃO ENTERRADA</t>
  </si>
  <si>
    <t>CORDOALHA DE COBRE NU 50MM  ENTERRADA</t>
  </si>
  <si>
    <t>PARA-RAIOS TIPO FRANKLIN 350MM EM LATÃO CROMADO</t>
  </si>
  <si>
    <t xml:space="preserve">ELETRODUTO ROSCAVEL DE 1'' </t>
  </si>
  <si>
    <t>TELEFONIA</t>
  </si>
  <si>
    <t>TOMADA DE REDE RJ45</t>
  </si>
  <si>
    <t>TOMADA PARA TELEFONE RJ11</t>
  </si>
  <si>
    <t>CABO ELETRONICO CATEGORIA 6</t>
  </si>
  <si>
    <t>CABO ELETRONICO CATEGORIA 5E</t>
  </si>
  <si>
    <t>PINTURA</t>
  </si>
  <si>
    <t>APLICAÇÃO MANUAL DE PINTURA COM TINTA LÁTEX ACRÍLICA EM PAREDES, DUAS DEMÃOS. AF_06/2014 (EXTERNO)</t>
  </si>
  <si>
    <t>APLICAÇÃO MANUAL DE PINTURA COM TINTA LÁTEX ACRÍLICA EM TETO, DUAS DEMÃOS. AF_06/2014</t>
  </si>
  <si>
    <t>EPÓXI EM MASSA, INCLUSIVE PREPARO (interno)</t>
  </si>
  <si>
    <t>PINTURA ESMALTE ALTO BRILHO, DUAS DEMAOS, SOBRE SUPERFICIE METALICA</t>
  </si>
  <si>
    <t>ABRIGO PARA LIXO</t>
  </si>
  <si>
    <t>LIMPEZA</t>
  </si>
  <si>
    <t>1.</t>
  </si>
  <si>
    <t>1.1.</t>
  </si>
  <si>
    <t>1.1.1</t>
  </si>
  <si>
    <t>1.1.2</t>
  </si>
  <si>
    <t>1.2.1</t>
  </si>
  <si>
    <t>1.2.2</t>
  </si>
  <si>
    <t>1.2.3</t>
  </si>
  <si>
    <t>1.3.1</t>
  </si>
  <si>
    <t>1.3.2</t>
  </si>
  <si>
    <t>1.4.1</t>
  </si>
  <si>
    <t>1.5.1</t>
  </si>
  <si>
    <t>1.5.2</t>
  </si>
  <si>
    <t>1.6.1</t>
  </si>
  <si>
    <t>1.6.2</t>
  </si>
  <si>
    <t>1.6.3</t>
  </si>
  <si>
    <t>1.6.4</t>
  </si>
  <si>
    <t>1.6.5</t>
  </si>
  <si>
    <t>1.6.6</t>
  </si>
  <si>
    <t>1.6.7</t>
  </si>
  <si>
    <t>1.7.1</t>
  </si>
  <si>
    <t>1.7.2</t>
  </si>
  <si>
    <t>1.7.3</t>
  </si>
  <si>
    <t>ESQUADRIAS DE FERRO E ALUMÍNIO</t>
  </si>
  <si>
    <t>1.8.1</t>
  </si>
  <si>
    <t>1.8.2</t>
  </si>
  <si>
    <t>1.8.3</t>
  </si>
  <si>
    <t>REVESTIMENTO DE PAREDES</t>
  </si>
  <si>
    <t>1.9.1</t>
  </si>
  <si>
    <t>1.9.2</t>
  </si>
  <si>
    <t>1.9.4</t>
  </si>
  <si>
    <t>1.9.3</t>
  </si>
  <si>
    <t>1.10</t>
  </si>
  <si>
    <t>1.10.1</t>
  </si>
  <si>
    <t>1.10.2</t>
  </si>
  <si>
    <t>1.10.3</t>
  </si>
  <si>
    <t>1.10.4</t>
  </si>
  <si>
    <t>1.10.5</t>
  </si>
  <si>
    <t>1.11</t>
  </si>
  <si>
    <t>PISO EXTERNO</t>
  </si>
  <si>
    <t>1.11.1</t>
  </si>
  <si>
    <t>1.12</t>
  </si>
  <si>
    <t>1.12.1</t>
  </si>
  <si>
    <t>TORNEIRA CROMADA LONGA, DE PAREDE, 1/2" OU 3/4", PARA PIA DE COZINHA, PADRÃO POPULAR - FORNECIMENTO E INSTALAÇÃO</t>
  </si>
  <si>
    <t>BANCADA DE MÁRMORE SINTÉTICO 120 X 60 CM, COM CUBA INTEGRADA, INCLUSO SIFÃO TIPO GARRAFA EM PVC, VÁLVULA EM PLÁSTICO, CROMADO TIPO AMERICANA E TORNEIRA CROMADA LONGA, DE PAREDE, PADRÃO POPULAR - FORNECIMENTO E INSTALAÇÃO</t>
  </si>
  <si>
    <t>PATCH PANEL 24 PORTAS</t>
  </si>
  <si>
    <t>LIMPEZA FINAL DA OBRA</t>
  </si>
  <si>
    <t>m3</t>
  </si>
  <si>
    <t>m2</t>
  </si>
  <si>
    <t>m</t>
  </si>
  <si>
    <t>unid.</t>
  </si>
  <si>
    <t>ITEM</t>
  </si>
  <si>
    <t>FONTE</t>
  </si>
  <si>
    <t>CÓDIGO</t>
  </si>
  <si>
    <t>DESCRIÇÃO</t>
  </si>
  <si>
    <t>UNID.</t>
  </si>
  <si>
    <t>QUANT.</t>
  </si>
  <si>
    <t>CUSTO UNIT.</t>
  </si>
  <si>
    <t>PREÇO TOTAL</t>
  </si>
  <si>
    <t>PREÇO UNIT. C/ BDI</t>
  </si>
  <si>
    <t>EVENTOS</t>
  </si>
  <si>
    <t>9-Cobertura (calha)</t>
  </si>
  <si>
    <t>10-Cobertura (tubulação água pluvial)</t>
  </si>
  <si>
    <t>11-Equadria de madeira portas internas</t>
  </si>
  <si>
    <t>12-Esquadria de madeira portas sanitários</t>
  </si>
  <si>
    <t>33-Esquadria de alumínio</t>
  </si>
  <si>
    <t>14-Revestiento Paredes (revest. Cerâmico)</t>
  </si>
  <si>
    <t>34-Piso externo (frente e lateral direita)</t>
  </si>
  <si>
    <t>35-Piso externo (lateral esquerda)</t>
  </si>
  <si>
    <t>36-Calçada</t>
  </si>
  <si>
    <t>20-Instalações Hidráulicas (caixas e ralos)</t>
  </si>
  <si>
    <t>21-Louças e Metais</t>
  </si>
  <si>
    <t>17-Instalações Hidráulicas (tubulação)</t>
  </si>
  <si>
    <t>19-Bancadas</t>
  </si>
  <si>
    <t>22-Instalações elétricas (cabos e eletrodutos)</t>
  </si>
  <si>
    <t>25-Intalações elétricas (caixas de passagem)</t>
  </si>
  <si>
    <t>24-Instalações elétricas (tomadas e interruptores)</t>
  </si>
  <si>
    <t>23-Instalações elétricas (quadros e disjuntores)</t>
  </si>
  <si>
    <t>26-Luminárias</t>
  </si>
  <si>
    <t>37-SPDA</t>
  </si>
  <si>
    <t>27-Telefonia</t>
  </si>
  <si>
    <t>29-Pintura Externa</t>
  </si>
  <si>
    <t>28-Pintura interna</t>
  </si>
  <si>
    <t>30-Pintura esquadrias</t>
  </si>
  <si>
    <t>31-Abrigo para lixo</t>
  </si>
  <si>
    <t>32-Limpeza</t>
  </si>
  <si>
    <t>05.01.051</t>
  </si>
  <si>
    <t>08.16.091</t>
  </si>
  <si>
    <t>33.10.060</t>
  </si>
  <si>
    <t>16.06.023</t>
  </si>
  <si>
    <t>55.01.020</t>
  </si>
  <si>
    <t>M</t>
  </si>
  <si>
    <r>
      <rPr>
        <b/>
        <sz val="11"/>
        <color theme="1"/>
        <rFont val="Calibri"/>
        <family val="2"/>
        <scheme val="minor"/>
      </rPr>
      <t>CONTRATO:</t>
    </r>
    <r>
      <rPr>
        <sz val="11"/>
        <color theme="1"/>
        <rFont val="Calibri"/>
        <family val="2"/>
        <scheme val="minor"/>
      </rPr>
      <t xml:space="preserve"> 14/2021</t>
    </r>
  </si>
  <si>
    <r>
      <rPr>
        <b/>
        <sz val="11"/>
        <color theme="1"/>
        <rFont val="Calibri"/>
        <family val="2"/>
        <scheme val="minor"/>
      </rPr>
      <t>TOMADA DE PREÇOS:</t>
    </r>
    <r>
      <rPr>
        <sz val="11"/>
        <color theme="1"/>
        <rFont val="Calibri"/>
        <family val="2"/>
        <scheme val="minor"/>
      </rPr>
      <t xml:space="preserve"> 13/2020</t>
    </r>
  </si>
  <si>
    <r>
      <rPr>
        <b/>
        <sz val="11"/>
        <color theme="1"/>
        <rFont val="Calibri"/>
        <family val="2"/>
        <scheme val="minor"/>
      </rPr>
      <t xml:space="preserve">OBJETO: </t>
    </r>
    <r>
      <rPr>
        <sz val="11"/>
        <color theme="1"/>
        <rFont val="Calibri"/>
        <family val="2"/>
        <scheme val="minor"/>
      </rPr>
      <t>Construção de unidade de atenção especializada em saúde</t>
    </r>
  </si>
  <si>
    <r>
      <rPr>
        <b/>
        <sz val="11"/>
        <color theme="1"/>
        <rFont val="Calibri"/>
        <family val="2"/>
        <scheme val="minor"/>
      </rPr>
      <t xml:space="preserve">CONVÊNIO: </t>
    </r>
    <r>
      <rPr>
        <sz val="11"/>
        <color theme="1"/>
        <rFont val="Calibri"/>
        <family val="2"/>
        <scheme val="minor"/>
      </rPr>
      <t>876221/2018</t>
    </r>
  </si>
  <si>
    <t>PLANILHA ORÇAMENTÁRIA - SERVIÇOS A SEREM CONCLUÍDOS</t>
  </si>
  <si>
    <t>1.2</t>
  </si>
  <si>
    <t>1.3</t>
  </si>
  <si>
    <t>1.4</t>
  </si>
  <si>
    <t>1.5</t>
  </si>
  <si>
    <t>1.5.3</t>
  </si>
  <si>
    <t>1.5.4</t>
  </si>
  <si>
    <t>1.5.6</t>
  </si>
  <si>
    <t>1.6</t>
  </si>
  <si>
    <t>1.6.8</t>
  </si>
  <si>
    <t>1.6.9</t>
  </si>
  <si>
    <t>1.6.10</t>
  </si>
  <si>
    <t>1.6.11</t>
  </si>
  <si>
    <t>1.6.12</t>
  </si>
  <si>
    <t>1.6.13</t>
  </si>
  <si>
    <t>1.6.14</t>
  </si>
  <si>
    <t>1.6.15</t>
  </si>
  <si>
    <t>TUBO PVC, SÉRIE R, ÁGUA PLUVIAL, DN 100 MM, FORNECIDO E INSTALADO EM RAMAL DE ENCAMINHAMENTO. AF_06/2022</t>
  </si>
  <si>
    <t>OBSERVAÇÃO</t>
  </si>
  <si>
    <t>PORTA DE CORRER DE ALUMÍNIO, COM DUAS FOLHAS PARA VIDRO, INCLUSO VIDRO LISO INCOLOR, FECHADURA E PUXADOR, SEM ALIZAR. AF_12/2019</t>
  </si>
  <si>
    <t>EXECUÇÃO DE PISO INDUSTRIAL DE CONCRETO ARMADO, FCK = 20 MPA, ESPESSURA DE 12,0 CM. AF_04/2022</t>
  </si>
  <si>
    <t>TUBO, PVC, SOLDÁVEL, DN 25MM, INSTALADO EM RAMAL OU SUB-RAMAL DE ÁGUA FORNECIMENTO E INSTALAÇÃO. AF_06/2022</t>
  </si>
  <si>
    <t>TUBO PVC, SERIE NORMAL, ESGOTO PREDIAL, DN 50 MM, FORNECIDO E INSTALADO EM RAMAL DE DESCARGA OU RAMAL DE ESGOTO SANITÁRIO. AF_08/2022</t>
  </si>
  <si>
    <t>TUBO PVC, SERIE NORMAL, ESGOTO PREDIAL, DN 100 MM, FORNECIDO E INSTALADO EM RAMAL DE DESCARGA OU RAMAL DE ESGOTO SANITÁRIO. AF_08/2022</t>
  </si>
  <si>
    <t>CABO DE COBRE FLEXÍVEL ISOLADO, 50 MM², ANTI-CHAMA 0,6/1,0 KV, PARA REDE ENTERRADA DE DISTRIBUIÇÃO DE ENERGIA ELÉTRICA - FORNECIMENTO E INSTALAÇÃO. AF_12/2021</t>
  </si>
  <si>
    <t>PINTURA COM TINTA ALQUÍDICA DE ACABAMENTO (ESMALTE SINTÉTICO BRILHANTE ) PULVERIZADA SOBRE SUPERFÍCIES METÁLICAS (EXCETO PERFIL) EXECUTADO EM OBRA (POR DEMÃO). AF_01/2020_PE</t>
  </si>
  <si>
    <t>BDI:</t>
  </si>
  <si>
    <t>16.08.028</t>
  </si>
  <si>
    <t>CI-01 CAIXA DE INSPECAO 60X60CM PARA ESGOTO</t>
  </si>
  <si>
    <t>CAIXA DE PROTEÇÃO PARA MEDIDOR MONOFÁSICO DE EMBUTIR - FORNECIMENTO E INSTALAÇÃO. AF_10/2020</t>
  </si>
  <si>
    <t>QUADRO DE DISTRIBUIÇÃO DE ENERGIA EM CHAPA DE AÇO GALVANIZADO, DE EMBUTIR, COM BARRAMENTO TRIFÁSICO, PARA 40 DISJUNTORES DIN 100A - FORNECIMENTO E INSTALAÇÃO. AF_10/2020</t>
  </si>
  <si>
    <t>1.5.5.1</t>
  </si>
  <si>
    <t>1.3.3.1</t>
  </si>
  <si>
    <t>POLICLÍNICA - ITENS PREVISTOS NO CR 876221/2018</t>
  </si>
  <si>
    <t>2.</t>
  </si>
  <si>
    <t>POLICLÍNICA - ITENS ACRESCIDOS A SEREM PAGOS COM RECURSOS PRÓPRIOS</t>
  </si>
  <si>
    <t>2.1</t>
  </si>
  <si>
    <t>UMA UNIDADE J2 FOI RETIRADA DO CONTRATO DE REPASSE DEVIDO AOS AJUSTES DO PROJETO</t>
  </si>
  <si>
    <t>ALTERAÇÃO ACESSO SANITÁRIOS FUNCIONÁRIOS</t>
  </si>
  <si>
    <t>2.1.1</t>
  </si>
  <si>
    <t>2.1.2</t>
  </si>
  <si>
    <t>2.1.3</t>
  </si>
  <si>
    <t>2.1.4</t>
  </si>
  <si>
    <t>2.1.5</t>
  </si>
  <si>
    <t>DEMOLIÇÃO DE ALVENARIA DE BLOCO FURADO, DE FORMA MANUAL, SEM REAPROVEITAMENTO. AF_09/2023</t>
  </si>
  <si>
    <t>ALVENARIA DE VEDAÇÃO DE BLOCOS CERÂMICOS FURADOS NA VERTICAL DE 14X19X39 CM (ESPESSURA 14 CM) E ARGAMASSA DE ASSENTAMENTO COM PREPARO MANUAL. AF_12/2021</t>
  </si>
  <si>
    <t>REMOÇÃO DE ENTULHO SEPARADO DE OBRA COM CAÇAMBA METÁLICA</t>
  </si>
  <si>
    <t>05.07.040</t>
  </si>
  <si>
    <t>CDHU</t>
  </si>
  <si>
    <t>2.2</t>
  </si>
  <si>
    <t>2.2.1</t>
  </si>
  <si>
    <t>PORTA EM ALUMÍNIO DE ABRIR TIPO VENEZIANA COM GUARNIÇÃO, FIXAÇÃO COM PARAFUSOS - FORNECIMENTO E INSTALAÇÃO. AF_12/2019</t>
  </si>
  <si>
    <t xml:space="preserve">ALTERAÇÃO ESQUADRIAS </t>
  </si>
  <si>
    <t>2.3</t>
  </si>
  <si>
    <t>EM SUBSTITUIÇÃO A JANELA J2</t>
  </si>
  <si>
    <t>PLANTIO DE GRAMA ESMERALDA OU SÃO CARLOS OU CURITIBANA, EM PLACAS. AF_05/2022</t>
  </si>
  <si>
    <t>2.3.1</t>
  </si>
  <si>
    <t>SERVIÇOS COMPLEMENTARES</t>
  </si>
  <si>
    <t>ALAMBRADO EM MOURÕES DE CONCRETO, COM TELA DE ARAME GALVANIZADO (INCLUSIVE MURETA EM CONCRETO). AF_05/2018</t>
  </si>
  <si>
    <t>2.3.2</t>
  </si>
  <si>
    <t>Portão tubular em tela de aço galvanizado até 2,50 m de altura,
completo</t>
  </si>
  <si>
    <t>2.3.3</t>
  </si>
  <si>
    <t>24.02.100</t>
  </si>
  <si>
    <t>2.3.4</t>
  </si>
  <si>
    <t>2.4</t>
  </si>
  <si>
    <t>RAMPA E ESCADA DE ACESSO</t>
  </si>
  <si>
    <t>2.4.1</t>
  </si>
  <si>
    <t>2.4.2</t>
  </si>
  <si>
    <t>2.4.3</t>
  </si>
  <si>
    <t>2.4.4</t>
  </si>
  <si>
    <t>área total a ser executada após alterações projeto: 52,45 m²</t>
  </si>
  <si>
    <t>M3</t>
  </si>
  <si>
    <t>Escavação manual em solo de 1ª e 2ª categoria em vala ou cava até 1,5 m</t>
  </si>
  <si>
    <t>Concreto usinado, fck = 25,0 Mpa</t>
  </si>
  <si>
    <t>Lançamento e adensamento de concreto ou massa em fundação</t>
  </si>
  <si>
    <t>Forma em madeira comum para fundação</t>
  </si>
  <si>
    <t>M2</t>
  </si>
  <si>
    <t>Armadura em barra de aço CA-50 (A ou B) fyk= 500 Mpa</t>
  </si>
  <si>
    <t>KG</t>
  </si>
  <si>
    <t>Vergas, contravergas e pilaretes de concreto armado</t>
  </si>
  <si>
    <t>Alvenaria de bloco cerâmico de vedação, uso revestido, de 14 cm</t>
  </si>
  <si>
    <t>Chapisco</t>
  </si>
  <si>
    <t xml:space="preserve">Tinta látex em massa, inclusive preparo </t>
  </si>
  <si>
    <t>infraestrutura</t>
  </si>
  <si>
    <t>alvenaria</t>
  </si>
  <si>
    <t>INFRAESTRUTURA RAMPA</t>
  </si>
  <si>
    <t>SUPER ESTRUTURA</t>
  </si>
  <si>
    <t>ALVENARIA, REVESTIMENTOS E PINTURA</t>
  </si>
  <si>
    <t>ESCADA</t>
  </si>
  <si>
    <t>2.4.5</t>
  </si>
  <si>
    <t>COMPONENTES METÁLICOS</t>
  </si>
  <si>
    <t>2.4.1.1</t>
  </si>
  <si>
    <t>2.4.1.2</t>
  </si>
  <si>
    <t>2.4.1.3</t>
  </si>
  <si>
    <t>2.4.1.4</t>
  </si>
  <si>
    <t>2.4.1.5</t>
  </si>
  <si>
    <t>2.4.1.6</t>
  </si>
  <si>
    <t>2.4.2.5</t>
  </si>
  <si>
    <t>2.4.3.1</t>
  </si>
  <si>
    <t>2.4.3.2</t>
  </si>
  <si>
    <t>2.4.3.3</t>
  </si>
  <si>
    <t>2.4.3.4</t>
  </si>
  <si>
    <t>2.4.4.1</t>
  </si>
  <si>
    <t>2.4.5.1</t>
  </si>
  <si>
    <t>2.4.5.2</t>
  </si>
  <si>
    <t>10.01.040</t>
  </si>
  <si>
    <t>14.20.010</t>
  </si>
  <si>
    <t>ESCAVAÇÃO MANUAL DE VALA PARA VIGA BALDRAME (INCLUINDO ESCAVAÇÃO PARA COLOCAÇÃO DE FÔRMAS). AF_06/2017</t>
  </si>
  <si>
    <t>CONCRETO FCK = 25MPA, TRAÇO 1:2,3:2,7 (EM MASSA SECA DE CIMENTO/ AREIA MÉDIA/ BRITA 1) - PREPARO MECÂNICO COM BETONEIRA 400 L. AF_05/2021</t>
  </si>
  <si>
    <t>LANÇAMENTO COM USO DE BALDES, ADENSAMENTO E ACABAMENTO DE CONCRETO EM ESTRUTURAS. AF_02/2022</t>
  </si>
  <si>
    <t>FABRICAÇÃO, MONTAGEM E DESMONTAGEM DE FÔRMA PARA VIGA BALDRAME, EM MADEIRA SERRADA, E=25 MM, 1 UTILIZAÇÃO. AF_06/2017</t>
  </si>
  <si>
    <t>ESTACA BROCA DE CONCRETO, DIÂMETRO DE 30CM, ESCAVAÇÃO MANUAL COM TRADO CONCHA, COM ARMADURA DE ARRANQUE. AF_05/2020</t>
  </si>
  <si>
    <t xml:space="preserve">Perímetro alvenaria =14,10 m/l   /  escavação = 14,10 * 0,20 (L) * 0,30 (H) </t>
  </si>
  <si>
    <t xml:space="preserve">Perímetro alvenaria =14,10 m/l   /  CONCRETO = 14,10 * 0,20 (L) * 0,30 (H) </t>
  </si>
  <si>
    <t>forma = 14,10 * 2 (laterais) * 0,30 (h)</t>
  </si>
  <si>
    <t>aço = concreto * 100</t>
  </si>
  <si>
    <t>8 unidades altura 1,00 m</t>
  </si>
  <si>
    <t>concreto * 100</t>
  </si>
  <si>
    <t>SUPERESTRUTURA</t>
  </si>
  <si>
    <t>verga = 14,10 * 0,15 (H) * 0,20 (largura) /  PILARETES 8 unid * 0,20 * 0,20 * 0,30 (altura média)</t>
  </si>
  <si>
    <t>ALVENARIA DE VEDAÇÃO DE BLOCOS CERÂMICOS FURADOS NA VERTICAL DE 14X19X39 CM (ESPESSURA 14 CM) E ARGAMASSA DE ASSENTAMENTO COM PREPARO EM BETONEIRA. AF_12/2021</t>
  </si>
  <si>
    <t>SNAPI</t>
  </si>
  <si>
    <t xml:space="preserve">APLICAÇÃO MANUAL DE PINTURA COM TINTA LÁTEX ACRÍLICA EM PAREDES, DUAS DEMÃOS. AF_06/2014 </t>
  </si>
  <si>
    <t>Massa única</t>
  </si>
  <si>
    <t>laterais 6,00 * 0,30 (altura média) 2 lados + fundo 2,10 * 0,60 (h)</t>
  </si>
  <si>
    <t xml:space="preserve">laterais 6,00 * 0,30 (altura média) 2 lados </t>
  </si>
  <si>
    <t>ESCADA EM CONCRETO ARMADO MOLDADO IN LOCO, FCK 25 MPA, COM 1 LANCE E LAJE PLANA, FÔRMA EM CHAPA DE MADEIRA COMPENSADA RESINADA. AF_11/2020_PA</t>
  </si>
  <si>
    <t>4 degraus * 2,25 m * 0,18 h * 0,30</t>
  </si>
  <si>
    <t>CORRIMÃO SIMPLES, DIÂMETRO EXTERNO = 1 1/2, EM AÇO GALVANIZADO. AF_04/2019_PS</t>
  </si>
  <si>
    <t>GUARDA-CORPO DE AÇO GALVANIZADO DE 1,10M DE ALTURA, MONTANTES TUBULARES DE 1.1/2 ESPAÇADOS DE 1,20M, TRAVESSA SUPERIOR DE 2 , GRADIL FORMADO POR BARRAS CHATAS EM FERRO DE 32X4,8MM, FIXADO COM CHUMBADOR MECÂNICO. AF_04/2019_PS</t>
  </si>
  <si>
    <t>2.5</t>
  </si>
  <si>
    <t>MUROS DE FECHAMENTO</t>
  </si>
  <si>
    <t>2.5.1</t>
  </si>
  <si>
    <t>2.5.1.1</t>
  </si>
  <si>
    <t>2.5.1.2</t>
  </si>
  <si>
    <t>2.5.1.3</t>
  </si>
  <si>
    <t>2.5.1.4</t>
  </si>
  <si>
    <t>2.5.1.5</t>
  </si>
  <si>
    <t>2.5.1.6</t>
  </si>
  <si>
    <t>2.5.2</t>
  </si>
  <si>
    <t>2.5.2.1</t>
  </si>
  <si>
    <t>2.5.3</t>
  </si>
  <si>
    <t>2.5.3.1</t>
  </si>
  <si>
    <t>2.5.3.2</t>
  </si>
  <si>
    <t>2.5.3.3</t>
  </si>
  <si>
    <t>2.5.3.4</t>
  </si>
  <si>
    <t>16,10 m * 2 corrimão duplo</t>
  </si>
  <si>
    <t>12,65 M/l muro * 0,20 * 0,30</t>
  </si>
  <si>
    <t>12,65 * 2 lados * 0,30 h</t>
  </si>
  <si>
    <t>6 brocas 1,50 m profundidade</t>
  </si>
  <si>
    <t>verga 12,65 * 0,20* 0,15 + pilaretes 2,20 h * 0,30 * 0,15 * 6 unidades</t>
  </si>
  <si>
    <t>12,65 * 2,20</t>
  </si>
  <si>
    <t>alvenaria * 2</t>
  </si>
  <si>
    <t>VALOR TOTAL           ATUALIZADO C/ BDI</t>
  </si>
  <si>
    <t>VALOR TOTAL ITENS ACRESCIDOS</t>
  </si>
  <si>
    <t xml:space="preserve"> </t>
  </si>
  <si>
    <t>VALOR TOTAL CONVÊNIO + RECURSOS PRÓPRIOS</t>
  </si>
  <si>
    <t>Data Base:</t>
  </si>
  <si>
    <t>ATUALIZAÇÃO VALORES DATA BASE JAN/2024</t>
  </si>
  <si>
    <t>2.6</t>
  </si>
  <si>
    <t>DRENAGEM DE ÁGUAS PLUVIAIS</t>
  </si>
  <si>
    <t>2.6.1</t>
  </si>
  <si>
    <t>2.6.2</t>
  </si>
  <si>
    <t>CANALETA MEIA CANA PRÉ-MOLDADA DE CONCRETO (D = 50 CM) - FORNECIMENTO E INSTALAÇÃO. AF_08/2021</t>
  </si>
  <si>
    <t>2.7</t>
  </si>
  <si>
    <t>2.3.5</t>
  </si>
  <si>
    <t>recolocação de telhas que foram furtadas da obra</t>
  </si>
  <si>
    <t>FORRO BEIRAL COBERTURA</t>
  </si>
  <si>
    <t>FORRO EM RÉGUAS DE PVC, FRISADO, PARA AMBIENTES RESIDENCIAIS, INCLUSIVE ESTRUTURA UNIDIRECIONAL DE FIXAÇÃO. AF_08/2023_PS</t>
  </si>
  <si>
    <t>2.7.1</t>
  </si>
  <si>
    <t>1.6.16</t>
  </si>
  <si>
    <t>1.6.17</t>
  </si>
  <si>
    <t>1.6.18</t>
  </si>
  <si>
    <t>1.6.19</t>
  </si>
  <si>
    <t>1.6.20</t>
  </si>
  <si>
    <t>1.6.21</t>
  </si>
  <si>
    <t>1.6.22</t>
  </si>
  <si>
    <t>1.6.23</t>
  </si>
  <si>
    <t>1.7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</si>
  <si>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</si>
  <si>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</si>
  <si>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</si>
  <si>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</si>
  <si>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</si>
  <si>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</si>
  <si>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</si>
  <si>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</si>
  <si>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</si>
  <si>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</si>
  <si>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</si>
  <si>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</si>
  <si>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</si>
  <si>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</si>
  <si>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</si>
  <si>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</si>
  <si>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</si>
  <si>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</si>
  <si>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</si>
  <si>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</si>
  <si>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</si>
  <si>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</si>
  <si>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</si>
  <si>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</si>
  <si>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</si>
  <si>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</si>
  <si>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</si>
  <si>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</si>
  <si>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1.8</t>
  </si>
  <si>
    <t>1.8.4</t>
  </si>
  <si>
    <t>1.8.5</t>
  </si>
  <si>
    <t>1.8.6</t>
  </si>
  <si>
    <t>1.9</t>
  </si>
  <si>
    <t>1.9.5</t>
  </si>
  <si>
    <t>1.9.6</t>
  </si>
  <si>
    <t>1.9.7</t>
  </si>
  <si>
    <t>1.9.8</t>
  </si>
  <si>
    <t>LUCAS AMADIO POLASTRE</t>
  </si>
  <si>
    <t>ARQUITETO E URBANISTA</t>
  </si>
  <si>
    <t>CAU A146657-7</t>
  </si>
  <si>
    <t>2.1.6</t>
  </si>
  <si>
    <t>2.1.7</t>
  </si>
  <si>
    <t>2.8</t>
  </si>
  <si>
    <t>PLACA DA OBRA</t>
  </si>
  <si>
    <t>2.8.1</t>
  </si>
  <si>
    <t>2.3.6</t>
  </si>
  <si>
    <t>diferença do previsto no contrato original em relação as alterações do projeto</t>
  </si>
  <si>
    <t>2.9</t>
  </si>
  <si>
    <t>EXECUÇÃO DE PASSEIO</t>
  </si>
  <si>
    <t>2.9.1</t>
  </si>
  <si>
    <t>2.9.2</t>
  </si>
  <si>
    <t>DEMOLIÇÃO DE PISO DE CONCRETO SIMPLES, DE FORMA MANUAL, SEM REAPROVEITAMENTO. AF_09/2023</t>
  </si>
  <si>
    <t>2.9.3</t>
  </si>
  <si>
    <t>Remoção de entulho separado de obra com caçamba metálica ‐ terra, alvenaria, concreto, argamassa, madeira, papel, plástico ou metal</t>
  </si>
  <si>
    <t>prevista demolição do passeio existente</t>
  </si>
  <si>
    <t>diferença da metragem prevista e real a ser executada</t>
  </si>
  <si>
    <t xml:space="preserve">remoção entulho demolição passeio + 30% empolamento </t>
  </si>
  <si>
    <t>diferença para execução do piso industrial</t>
  </si>
  <si>
    <t>Tietê, 23 de fevereiro de 2024.</t>
  </si>
  <si>
    <t>CRONOGRAMA FÍSICO-FINANCEIRO</t>
  </si>
  <si>
    <t>1º MÊS</t>
  </si>
  <si>
    <t>2º MÊS</t>
  </si>
  <si>
    <t>3º MÊS</t>
  </si>
  <si>
    <t>4º MÊS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</si>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</sst>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name val="Arial"/>
      <family val="2"/>
    </font>
    <font>
      <sz val="10"/>
      <color rgb="FF000000"/>
      <name val="Calibri Light"/>
      <family val="2"/>
      <scheme val="maj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8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3" fontId="4" fillId="0" borderId="1" xfId="1" applyFont="1" applyBorder="1" applyAlignment="1" applyProtection="1">
      <alignment horizontal="center" vertical="center" shrinkToFit="1"/>
    </xf>
    <xf numFmtId="164" fontId="5" fillId="0" borderId="1" xfId="1" applyNumberFormat="1" applyFont="1" applyBorder="1" applyAlignment="1" applyProtection="1">
      <alignment horizontal="center" vertical="center" shrinkToFit="1"/>
    </xf>
    <xf numFmtId="10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 applyProtection="1">
      <alignment horizontal="center" vertical="center" wrapText="1"/>
      <protection locked="0" hidden="1"/>
    </xf>
    <xf numFmtId="0" fontId="7" fillId="0" borderId="28" xfId="0" applyFont="1" applyFill="1" applyBorder="1" applyAlignment="1">
      <alignment horizontal="center" vertical="center"/>
    </xf>
    <xf numFmtId="164" fontId="0" fillId="0" borderId="0" xfId="0" applyNumberFormat="1" applyFont="1"/>
    <xf numFmtId="2" fontId="9" fillId="0" borderId="2" xfId="1" applyNumberFormat="1" applyFont="1" applyFill="1" applyBorder="1" applyAlignment="1" applyProtection="1">
      <alignment horizontal="center" vertical="center" shrinkToFit="1"/>
    </xf>
    <xf numFmtId="2" fontId="7" fillId="2" borderId="0" xfId="0" applyNumberFormat="1" applyFont="1" applyFill="1" applyBorder="1" applyAlignment="1">
      <alignment horizontal="center" vertical="center"/>
    </xf>
    <xf numFmtId="2" fontId="9" fillId="0" borderId="36" xfId="1" applyNumberFormat="1" applyFont="1" applyFill="1" applyBorder="1" applyAlignment="1" applyProtection="1">
      <alignment horizontal="center" vertical="center" shrinkToFit="1"/>
    </xf>
    <xf numFmtId="0" fontId="2" fillId="0" borderId="0" xfId="0" applyFont="1"/>
    <xf numFmtId="164" fontId="8" fillId="2" borderId="18" xfId="0" applyNumberFormat="1" applyFont="1" applyFill="1" applyBorder="1" applyAlignment="1">
      <alignment vertical="center"/>
    </xf>
    <xf numFmtId="164" fontId="10" fillId="0" borderId="1" xfId="1" applyNumberFormat="1" applyFont="1" applyFill="1" applyBorder="1" applyAlignment="1" applyProtection="1">
      <alignment horizontal="center" vertical="center" shrinkToFit="1"/>
    </xf>
    <xf numFmtId="164" fontId="7" fillId="2" borderId="39" xfId="0" applyNumberFormat="1" applyFont="1" applyFill="1" applyBorder="1" applyAlignment="1">
      <alignment horizontal="center" vertical="center"/>
    </xf>
    <xf numFmtId="164" fontId="10" fillId="0" borderId="28" xfId="1" applyNumberFormat="1" applyFont="1" applyFill="1" applyBorder="1" applyAlignment="1" applyProtection="1">
      <alignment horizontal="center" vertical="center" shrinkToFit="1"/>
    </xf>
    <xf numFmtId="164" fontId="7" fillId="0" borderId="1" xfId="0" applyNumberFormat="1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11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Fill="1"/>
    <xf numFmtId="164" fontId="8" fillId="2" borderId="37" xfId="0" applyNumberFormat="1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/>
    </xf>
    <xf numFmtId="0" fontId="7" fillId="2" borderId="23" xfId="0" applyFont="1" applyFill="1" applyBorder="1" applyAlignment="1">
      <alignment horizontal="center" vertical="center"/>
    </xf>
    <xf numFmtId="164" fontId="7" fillId="2" borderId="36" xfId="0" applyNumberFormat="1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32" xfId="0" applyFont="1" applyFill="1" applyBorder="1"/>
    <xf numFmtId="0" fontId="8" fillId="2" borderId="1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/>
    <xf numFmtId="0" fontId="7" fillId="0" borderId="27" xfId="0" applyFont="1" applyBorder="1" applyAlignment="1">
      <alignment horizontal="center" vertical="center" wrapText="1"/>
    </xf>
    <xf numFmtId="0" fontId="7" fillId="2" borderId="9" xfId="0" applyFont="1" applyFill="1" applyBorder="1"/>
    <xf numFmtId="0" fontId="7" fillId="0" borderId="9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vertical="center" wrapText="1"/>
    </xf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7" fillId="2" borderId="10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/>
    </xf>
    <xf numFmtId="0" fontId="7" fillId="2" borderId="20" xfId="0" applyFont="1" applyFill="1" applyBorder="1" applyAlignment="1">
      <alignment horizontal="center" vertical="center"/>
    </xf>
    <xf numFmtId="164" fontId="7" fillId="2" borderId="41" xfId="0" applyNumberFormat="1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6" xfId="0" applyFont="1" applyFill="1" applyBorder="1"/>
    <xf numFmtId="0" fontId="7" fillId="0" borderId="9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7" fillId="0" borderId="9" xfId="0" applyFont="1" applyFill="1" applyBorder="1"/>
    <xf numFmtId="0" fontId="8" fillId="0" borderId="1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164" fontId="7" fillId="0" borderId="39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35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horizontal="center"/>
    </xf>
    <xf numFmtId="0" fontId="7" fillId="2" borderId="31" xfId="0" applyFont="1" applyFill="1" applyBorder="1"/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vertical="center" wrapText="1"/>
    </xf>
    <xf numFmtId="0" fontId="0" fillId="2" borderId="42" xfId="0" applyFill="1" applyBorder="1"/>
    <xf numFmtId="0" fontId="0" fillId="2" borderId="43" xfId="0" applyFill="1" applyBorder="1"/>
    <xf numFmtId="0" fontId="0" fillId="2" borderId="43" xfId="0" applyFill="1" applyBorder="1" applyAlignment="1">
      <alignment horizontal="center"/>
    </xf>
    <xf numFmtId="0" fontId="0" fillId="2" borderId="44" xfId="0" applyFill="1" applyBorder="1"/>
    <xf numFmtId="164" fontId="8" fillId="2" borderId="44" xfId="0" applyNumberFormat="1" applyFont="1" applyFill="1" applyBorder="1" applyAlignment="1">
      <alignment vertical="center"/>
    </xf>
    <xf numFmtId="17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2" fontId="9" fillId="0" borderId="1" xfId="1" applyNumberFormat="1" applyFont="1" applyFill="1" applyBorder="1" applyAlignment="1" applyProtection="1">
      <alignment horizontal="center" vertical="center" shrinkToFit="1"/>
    </xf>
    <xf numFmtId="43" fontId="9" fillId="0" borderId="1" xfId="1" applyFont="1" applyFill="1" applyBorder="1" applyAlignment="1" applyProtection="1">
      <alignment horizontal="center" vertical="center" shrinkToFit="1"/>
    </xf>
    <xf numFmtId="164" fontId="7" fillId="0" borderId="9" xfId="0" applyNumberFormat="1" applyFont="1" applyBorder="1"/>
    <xf numFmtId="164" fontId="7" fillId="0" borderId="9" xfId="0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 applyProtection="1">
      <alignment horizontal="center" vertical="center" wrapText="1"/>
      <protection locked="0" hidden="1"/>
    </xf>
    <xf numFmtId="0" fontId="7" fillId="0" borderId="9" xfId="0" applyFont="1" applyFill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8" fillId="2" borderId="16" xfId="0" applyNumberFormat="1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0" fillId="0" borderId="9" xfId="0" applyFont="1" applyFill="1" applyBorder="1" applyAlignment="1" applyProtection="1">
      <alignment horizontal="center" vertical="center" wrapText="1"/>
      <protection locked="0" hidden="1"/>
    </xf>
    <xf numFmtId="0" fontId="10" fillId="2" borderId="27" xfId="0" applyFont="1" applyFill="1" applyBorder="1" applyAlignment="1" applyProtection="1">
      <alignment horizontal="center" vertical="center" wrapText="1"/>
      <protection locked="0" hidden="1"/>
    </xf>
    <xf numFmtId="165" fontId="8" fillId="2" borderId="10" xfId="0" applyNumberFormat="1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0" fillId="2" borderId="15" xfId="0" applyFill="1" applyBorder="1"/>
    <xf numFmtId="0" fontId="8" fillId="0" borderId="28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0" fontId="8" fillId="0" borderId="33" xfId="0" applyFont="1" applyFill="1" applyBorder="1" applyAlignment="1">
      <alignment vertical="center" wrapText="1"/>
    </xf>
    <xf numFmtId="0" fontId="7" fillId="2" borderId="35" xfId="0" applyFont="1" applyFill="1" applyBorder="1" applyAlignment="1">
      <alignment horizontal="center" vertical="center"/>
    </xf>
    <xf numFmtId="0" fontId="10" fillId="0" borderId="9" xfId="0" applyFont="1" applyFill="1" applyBorder="1" applyAlignment="1" applyProtection="1">
      <alignment horizontal="center" wrapText="1"/>
      <protection locked="0" hidden="1"/>
    </xf>
    <xf numFmtId="164" fontId="10" fillId="0" borderId="9" xfId="0" applyNumberFormat="1" applyFont="1" applyFill="1" applyBorder="1" applyAlignment="1" applyProtection="1">
      <alignment horizontal="center" wrapText="1"/>
      <protection locked="0" hidden="1"/>
    </xf>
    <xf numFmtId="0" fontId="10" fillId="0" borderId="35" xfId="0" applyFont="1" applyFill="1" applyBorder="1" applyAlignment="1" applyProtection="1">
      <alignment horizontal="center" wrapText="1"/>
      <protection locked="0" hidden="1"/>
    </xf>
    <xf numFmtId="0" fontId="14" fillId="2" borderId="9" xfId="0" applyFont="1" applyFill="1" applyBorder="1" applyAlignment="1">
      <alignment horizontal="center"/>
    </xf>
    <xf numFmtId="164" fontId="10" fillId="0" borderId="27" xfId="0" applyNumberFormat="1" applyFont="1" applyFill="1" applyBorder="1" applyAlignment="1" applyProtection="1">
      <alignment horizontal="center" wrapText="1"/>
      <protection locked="0" hidden="1"/>
    </xf>
    <xf numFmtId="0" fontId="7" fillId="0" borderId="9" xfId="0" applyFont="1" applyFill="1" applyBorder="1" applyAlignment="1"/>
    <xf numFmtId="164" fontId="7" fillId="0" borderId="9" xfId="0" applyNumberFormat="1" applyFont="1" applyFill="1" applyBorder="1" applyAlignment="1"/>
    <xf numFmtId="0" fontId="8" fillId="2" borderId="1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8" fillId="0" borderId="22" xfId="0" applyFont="1" applyFill="1" applyBorder="1" applyAlignment="1">
      <alignment horizontal="center" vertical="center"/>
    </xf>
    <xf numFmtId="164" fontId="8" fillId="0" borderId="29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164" fontId="8" fillId="0" borderId="34" xfId="0" applyNumberFormat="1" applyFont="1" applyFill="1" applyBorder="1" applyAlignment="1">
      <alignment horizontal="center" vertical="center"/>
    </xf>
    <xf numFmtId="0" fontId="7" fillId="2" borderId="35" xfId="0" applyFont="1" applyFill="1" applyBorder="1"/>
    <xf numFmtId="0" fontId="7" fillId="0" borderId="35" xfId="0" applyFont="1" applyFill="1" applyBorder="1" applyAlignment="1"/>
    <xf numFmtId="0" fontId="14" fillId="2" borderId="9" xfId="0" applyFont="1" applyFill="1" applyBorder="1" applyAlignment="1"/>
    <xf numFmtId="0" fontId="7" fillId="0" borderId="27" xfId="0" applyFont="1" applyFill="1" applyBorder="1" applyAlignment="1"/>
    <xf numFmtId="164" fontId="7" fillId="0" borderId="35" xfId="0" applyNumberFormat="1" applyFont="1" applyFill="1" applyBorder="1" applyAlignment="1"/>
    <xf numFmtId="0" fontId="8" fillId="2" borderId="16" xfId="0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vertical="center"/>
    </xf>
    <xf numFmtId="0" fontId="2" fillId="4" borderId="1" xfId="0" applyFont="1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164" fontId="8" fillId="2" borderId="42" xfId="0" applyNumberFormat="1" applyFont="1" applyFill="1" applyBorder="1" applyAlignment="1">
      <alignment horizontal="center" vertical="center" wrapText="1"/>
    </xf>
    <xf numFmtId="164" fontId="8" fillId="2" borderId="43" xfId="0" applyNumberFormat="1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3">
    <cellStyle name="Normal" xfId="0" builtinId="0"/>
    <cellStyle name="Normal 2" xfId="2"/>
    <cellStyle name="Vírgula" xfId="1" builtinId="3"/>
  </cellStyles>
  <dxfs count="123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24994659260841701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127003</xdr:colOff>
      <xdr:row>10</xdr:row>
      <xdr:rowOff>148167</xdr:rowOff>
    </xdr:from>
    <xdr:to>
      <xdr:col>4</xdr:col>
      <xdr:colOff>1047753</xdr:colOff>
      <xdr:row>10</xdr:row>
      <xdr:rowOff>148167</xdr:rowOff>
    </xdr:to>
    <xdr:cxnSp macro="">
      <xdr:nvCxnSpPr>
        <xdr:cNvPr id="3" name="Conector reto 2"/>
        <xdr:cNvCxnSpPr/>
      </xdr:nvCxnSpPr>
      <xdr:spPr>
        <a:xfrm>
          <a:off x="7715253" y="2487084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120647</xdr:colOff>
      <xdr:row>11</xdr:row>
      <xdr:rowOff>152400</xdr:rowOff>
    </xdr:from>
    <xdr:to>
      <xdr:col>3</xdr:col>
      <xdr:colOff>1060447</xdr:colOff>
      <xdr:row>11</xdr:row>
      <xdr:rowOff>152400</xdr:rowOff>
    </xdr:to>
    <xdr:cxnSp macro="">
      <xdr:nvCxnSpPr>
        <xdr:cNvPr id="4" name="Conector reto 3"/>
        <xdr:cNvCxnSpPr/>
      </xdr:nvCxnSpPr>
      <xdr:spPr>
        <a:xfrm>
          <a:off x="6523564" y="2914650"/>
          <a:ext cx="93980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110069</xdr:colOff>
      <xdr:row>12</xdr:row>
      <xdr:rowOff>141818</xdr:rowOff>
    </xdr:from>
    <xdr:to>
      <xdr:col>5</xdr:col>
      <xdr:colOff>1030819</xdr:colOff>
      <xdr:row>12</xdr:row>
      <xdr:rowOff>141818</xdr:rowOff>
    </xdr:to>
    <xdr:cxnSp macro="">
      <xdr:nvCxnSpPr>
        <xdr:cNvPr id="5" name="Conector reto 4"/>
        <xdr:cNvCxnSpPr/>
      </xdr:nvCxnSpPr>
      <xdr:spPr>
        <a:xfrm>
          <a:off x="8820152" y="3327401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103719</xdr:colOff>
      <xdr:row>13</xdr:row>
      <xdr:rowOff>156634</xdr:rowOff>
    </xdr:from>
    <xdr:to>
      <xdr:col>5</xdr:col>
      <xdr:colOff>1024469</xdr:colOff>
      <xdr:row>13</xdr:row>
      <xdr:rowOff>156634</xdr:rowOff>
    </xdr:to>
    <xdr:cxnSp macro="">
      <xdr:nvCxnSpPr>
        <xdr:cNvPr id="6" name="Conector reto 5"/>
        <xdr:cNvCxnSpPr/>
      </xdr:nvCxnSpPr>
      <xdr:spPr>
        <a:xfrm>
          <a:off x="8813802" y="3765551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114304</xdr:colOff>
      <xdr:row>14</xdr:row>
      <xdr:rowOff>124884</xdr:rowOff>
    </xdr:from>
    <xdr:to>
      <xdr:col>4</xdr:col>
      <xdr:colOff>1035054</xdr:colOff>
      <xdr:row>14</xdr:row>
      <xdr:rowOff>124884</xdr:rowOff>
    </xdr:to>
    <xdr:cxnSp macro="">
      <xdr:nvCxnSpPr>
        <xdr:cNvPr id="7" name="Conector reto 6"/>
        <xdr:cNvCxnSpPr/>
      </xdr:nvCxnSpPr>
      <xdr:spPr>
        <a:xfrm>
          <a:off x="7702554" y="4157134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150286</xdr:colOff>
      <xdr:row>15</xdr:row>
      <xdr:rowOff>203200</xdr:rowOff>
    </xdr:from>
    <xdr:to>
      <xdr:col>6</xdr:col>
      <xdr:colOff>1071036</xdr:colOff>
      <xdr:row>15</xdr:row>
      <xdr:rowOff>203200</xdr:rowOff>
    </xdr:to>
    <xdr:cxnSp macro="">
      <xdr:nvCxnSpPr>
        <xdr:cNvPr id="8" name="Conector reto 7"/>
        <xdr:cNvCxnSpPr/>
      </xdr:nvCxnSpPr>
      <xdr:spPr>
        <a:xfrm>
          <a:off x="10013953" y="5738283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80436</xdr:colOff>
      <xdr:row>15</xdr:row>
      <xdr:rowOff>122769</xdr:rowOff>
    </xdr:from>
    <xdr:to>
      <xdr:col>4</xdr:col>
      <xdr:colOff>1047750</xdr:colOff>
      <xdr:row>15</xdr:row>
      <xdr:rowOff>127003</xdr:rowOff>
    </xdr:to>
    <xdr:cxnSp macro="">
      <xdr:nvCxnSpPr>
        <xdr:cNvPr id="9" name="Conector reto 8"/>
        <xdr:cNvCxnSpPr/>
      </xdr:nvCxnSpPr>
      <xdr:spPr>
        <a:xfrm>
          <a:off x="6483353" y="4578352"/>
          <a:ext cx="2152647" cy="423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139703</xdr:colOff>
      <xdr:row>16</xdr:row>
      <xdr:rowOff>160867</xdr:rowOff>
    </xdr:from>
    <xdr:to>
      <xdr:col>6</xdr:col>
      <xdr:colOff>1060453</xdr:colOff>
      <xdr:row>16</xdr:row>
      <xdr:rowOff>160867</xdr:rowOff>
    </xdr:to>
    <xdr:cxnSp macro="">
      <xdr:nvCxnSpPr>
        <xdr:cNvPr id="11" name="Conector reto 10"/>
        <xdr:cNvCxnSpPr/>
      </xdr:nvCxnSpPr>
      <xdr:spPr>
        <a:xfrm>
          <a:off x="9961036" y="5039784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95254</xdr:colOff>
      <xdr:row>16</xdr:row>
      <xdr:rowOff>127002</xdr:rowOff>
    </xdr:from>
    <xdr:to>
      <xdr:col>4</xdr:col>
      <xdr:colOff>1062568</xdr:colOff>
      <xdr:row>16</xdr:row>
      <xdr:rowOff>131236</xdr:rowOff>
    </xdr:to>
    <xdr:cxnSp macro="">
      <xdr:nvCxnSpPr>
        <xdr:cNvPr id="12" name="Conector reto 11"/>
        <xdr:cNvCxnSpPr/>
      </xdr:nvCxnSpPr>
      <xdr:spPr>
        <a:xfrm>
          <a:off x="6498171" y="5005919"/>
          <a:ext cx="2152647" cy="423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118537</xdr:colOff>
      <xdr:row>17</xdr:row>
      <xdr:rowOff>203199</xdr:rowOff>
    </xdr:from>
    <xdr:to>
      <xdr:col>4</xdr:col>
      <xdr:colOff>1039287</xdr:colOff>
      <xdr:row>17</xdr:row>
      <xdr:rowOff>203199</xdr:rowOff>
    </xdr:to>
    <xdr:cxnSp macro="">
      <xdr:nvCxnSpPr>
        <xdr:cNvPr id="13" name="Conector reto 12"/>
        <xdr:cNvCxnSpPr/>
      </xdr:nvCxnSpPr>
      <xdr:spPr>
        <a:xfrm>
          <a:off x="7706787" y="6902449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122770</xdr:colOff>
      <xdr:row>18</xdr:row>
      <xdr:rowOff>143934</xdr:rowOff>
    </xdr:from>
    <xdr:to>
      <xdr:col>3</xdr:col>
      <xdr:colOff>1043520</xdr:colOff>
      <xdr:row>18</xdr:row>
      <xdr:rowOff>143934</xdr:rowOff>
    </xdr:to>
    <xdr:cxnSp macro="">
      <xdr:nvCxnSpPr>
        <xdr:cNvPr id="14" name="Conector reto 13"/>
        <xdr:cNvCxnSpPr/>
      </xdr:nvCxnSpPr>
      <xdr:spPr>
        <a:xfrm>
          <a:off x="6525687" y="5869517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99486</xdr:colOff>
      <xdr:row>19</xdr:row>
      <xdr:rowOff>141817</xdr:rowOff>
    </xdr:from>
    <xdr:to>
      <xdr:col>6</xdr:col>
      <xdr:colOff>1140883</xdr:colOff>
      <xdr:row>19</xdr:row>
      <xdr:rowOff>146051</xdr:rowOff>
    </xdr:to>
    <xdr:cxnSp macro="">
      <xdr:nvCxnSpPr>
        <xdr:cNvPr id="15" name="Conector reto 14"/>
        <xdr:cNvCxnSpPr/>
      </xdr:nvCxnSpPr>
      <xdr:spPr>
        <a:xfrm>
          <a:off x="8809569" y="6290734"/>
          <a:ext cx="2152647" cy="423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127004</xdr:colOff>
      <xdr:row>20</xdr:row>
      <xdr:rowOff>148167</xdr:rowOff>
    </xdr:from>
    <xdr:to>
      <xdr:col>4</xdr:col>
      <xdr:colOff>1047754</xdr:colOff>
      <xdr:row>20</xdr:row>
      <xdr:rowOff>148167</xdr:rowOff>
    </xdr:to>
    <xdr:cxnSp macro="">
      <xdr:nvCxnSpPr>
        <xdr:cNvPr id="16" name="Conector reto 15"/>
        <xdr:cNvCxnSpPr/>
      </xdr:nvCxnSpPr>
      <xdr:spPr>
        <a:xfrm>
          <a:off x="7715254" y="6720417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141820</xdr:colOff>
      <xdr:row>21</xdr:row>
      <xdr:rowOff>173568</xdr:rowOff>
    </xdr:from>
    <xdr:to>
      <xdr:col>6</xdr:col>
      <xdr:colOff>1062570</xdr:colOff>
      <xdr:row>21</xdr:row>
      <xdr:rowOff>173568</xdr:rowOff>
    </xdr:to>
    <xdr:cxnSp macro="">
      <xdr:nvCxnSpPr>
        <xdr:cNvPr id="17" name="Conector reto 16"/>
        <xdr:cNvCxnSpPr/>
      </xdr:nvCxnSpPr>
      <xdr:spPr>
        <a:xfrm>
          <a:off x="9963153" y="7169151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156637</xdr:colOff>
      <xdr:row>23</xdr:row>
      <xdr:rowOff>124884</xdr:rowOff>
    </xdr:from>
    <xdr:to>
      <xdr:col>3</xdr:col>
      <xdr:colOff>1077387</xdr:colOff>
      <xdr:row>23</xdr:row>
      <xdr:rowOff>124884</xdr:rowOff>
    </xdr:to>
    <xdr:cxnSp macro="">
      <xdr:nvCxnSpPr>
        <xdr:cNvPr id="18" name="Conector reto 17"/>
        <xdr:cNvCxnSpPr/>
      </xdr:nvCxnSpPr>
      <xdr:spPr>
        <a:xfrm>
          <a:off x="6559554" y="9036051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171454</xdr:colOff>
      <xdr:row>24</xdr:row>
      <xdr:rowOff>139700</xdr:rowOff>
    </xdr:from>
    <xdr:to>
      <xdr:col>3</xdr:col>
      <xdr:colOff>1092204</xdr:colOff>
      <xdr:row>24</xdr:row>
      <xdr:rowOff>139700</xdr:rowOff>
    </xdr:to>
    <xdr:cxnSp macro="">
      <xdr:nvCxnSpPr>
        <xdr:cNvPr id="19" name="Conector reto 18"/>
        <xdr:cNvCxnSpPr/>
      </xdr:nvCxnSpPr>
      <xdr:spPr>
        <a:xfrm>
          <a:off x="6574371" y="9463617"/>
          <a:ext cx="9207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95251</xdr:colOff>
      <xdr:row>25</xdr:row>
      <xdr:rowOff>148169</xdr:rowOff>
    </xdr:from>
    <xdr:to>
      <xdr:col>6</xdr:col>
      <xdr:colOff>1037167</xdr:colOff>
      <xdr:row>25</xdr:row>
      <xdr:rowOff>158750</xdr:rowOff>
    </xdr:to>
    <xdr:cxnSp macro="">
      <xdr:nvCxnSpPr>
        <xdr:cNvPr id="20" name="Conector reto 19"/>
        <xdr:cNvCxnSpPr/>
      </xdr:nvCxnSpPr>
      <xdr:spPr>
        <a:xfrm>
          <a:off x="7683501" y="8445502"/>
          <a:ext cx="3174999" cy="10581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103721</xdr:colOff>
      <xdr:row>29</xdr:row>
      <xdr:rowOff>141818</xdr:rowOff>
    </xdr:from>
    <xdr:to>
      <xdr:col>6</xdr:col>
      <xdr:colOff>1104899</xdr:colOff>
      <xdr:row>29</xdr:row>
      <xdr:rowOff>146050</xdr:rowOff>
    </xdr:to>
    <xdr:cxnSp macro="">
      <xdr:nvCxnSpPr>
        <xdr:cNvPr id="28" name="Conector reto 27"/>
        <xdr:cNvCxnSpPr/>
      </xdr:nvCxnSpPr>
      <xdr:spPr>
        <a:xfrm flipV="1">
          <a:off x="9925054" y="11529485"/>
          <a:ext cx="1001178" cy="423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97372</xdr:colOff>
      <xdr:row>30</xdr:row>
      <xdr:rowOff>156634</xdr:rowOff>
    </xdr:from>
    <xdr:to>
      <xdr:col>3</xdr:col>
      <xdr:colOff>1098550</xdr:colOff>
      <xdr:row>30</xdr:row>
      <xdr:rowOff>160866</xdr:rowOff>
    </xdr:to>
    <xdr:cxnSp macro="">
      <xdr:nvCxnSpPr>
        <xdr:cNvPr id="29" name="Conector reto 28"/>
        <xdr:cNvCxnSpPr/>
      </xdr:nvCxnSpPr>
      <xdr:spPr>
        <a:xfrm flipV="1">
          <a:off x="6500289" y="11957051"/>
          <a:ext cx="1001178" cy="423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48689</xdr:colOff>
      <xdr:row>31</xdr:row>
      <xdr:rowOff>160869</xdr:rowOff>
    </xdr:from>
    <xdr:to>
      <xdr:col>5</xdr:col>
      <xdr:colOff>1049867</xdr:colOff>
      <xdr:row>31</xdr:row>
      <xdr:rowOff>165101</xdr:rowOff>
    </xdr:to>
    <xdr:cxnSp macro="">
      <xdr:nvCxnSpPr>
        <xdr:cNvPr id="30" name="Conector reto 29"/>
        <xdr:cNvCxnSpPr/>
      </xdr:nvCxnSpPr>
      <xdr:spPr>
        <a:xfrm flipV="1">
          <a:off x="8758772" y="12374036"/>
          <a:ext cx="1001178" cy="423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110069</xdr:colOff>
      <xdr:row>26</xdr:row>
      <xdr:rowOff>131234</xdr:rowOff>
    </xdr:from>
    <xdr:to>
      <xdr:col>6</xdr:col>
      <xdr:colOff>1151466</xdr:colOff>
      <xdr:row>26</xdr:row>
      <xdr:rowOff>135468</xdr:rowOff>
    </xdr:to>
    <xdr:cxnSp macro="">
      <xdr:nvCxnSpPr>
        <xdr:cNvPr id="33" name="Conector reto 32"/>
        <xdr:cNvCxnSpPr/>
      </xdr:nvCxnSpPr>
      <xdr:spPr>
        <a:xfrm>
          <a:off x="8820152" y="8841317"/>
          <a:ext cx="2152647" cy="423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93135</xdr:colOff>
      <xdr:row>27</xdr:row>
      <xdr:rowOff>146051</xdr:rowOff>
    </xdr:from>
    <xdr:to>
      <xdr:col>6</xdr:col>
      <xdr:colOff>1134532</xdr:colOff>
      <xdr:row>27</xdr:row>
      <xdr:rowOff>150285</xdr:rowOff>
    </xdr:to>
    <xdr:cxnSp macro="">
      <xdr:nvCxnSpPr>
        <xdr:cNvPr id="34" name="Conector reto 33"/>
        <xdr:cNvCxnSpPr/>
      </xdr:nvCxnSpPr>
      <xdr:spPr>
        <a:xfrm>
          <a:off x="8803218" y="9268884"/>
          <a:ext cx="2152647" cy="423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82554</xdr:colOff>
      <xdr:row>28</xdr:row>
      <xdr:rowOff>120652</xdr:rowOff>
    </xdr:from>
    <xdr:to>
      <xdr:col>6</xdr:col>
      <xdr:colOff>1083732</xdr:colOff>
      <xdr:row>28</xdr:row>
      <xdr:rowOff>124884</xdr:rowOff>
    </xdr:to>
    <xdr:cxnSp macro="">
      <xdr:nvCxnSpPr>
        <xdr:cNvPr id="35" name="Conector reto 34"/>
        <xdr:cNvCxnSpPr/>
      </xdr:nvCxnSpPr>
      <xdr:spPr>
        <a:xfrm flipV="1">
          <a:off x="9903887" y="9656235"/>
          <a:ext cx="1001178" cy="423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SA&#218;DE/POLICL&#205;NICA%20-%20n&#186;%20876221.2018_Proposta%2054192.2018/P&#211;S%20LICITA&#199;&#195;O/PO%20p&#243;s%20licita&#231;&#227;o_desprotegid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SA&#218;DE/POLICL&#205;NICA%20-%20n&#186;%20876221.2018_Proposta%2054192.2018/P&#211;S%20LICITA&#199;&#195;O/PLE_p&#243;s%20licita&#231;&#227;o_policlinica_desprotegida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SA&#218;DE/POLICL&#205;NICA%20-%20n&#186;%20876221.2018_Proposta%2054192.2018/P&#211;S%20LICITA&#199;&#195;O/ALTERA&#199;&#195;O%20EVENTOS/PLE_ALTERA&#199;&#195;O_EVENTO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6-%20CONV&#202;NIOS/TABELAS%20DE%20PRE&#199;O/CPOS/CPOS%20181/COM%20DESONERA&#199;&#195;O/servicoscd_1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7">
          <cell r="T37" t="str">
            <v>BDI 1</v>
          </cell>
          <cell r="U37" t="str">
            <v>BDI 2</v>
          </cell>
          <cell r="V37" t="str">
            <v>BDI 3</v>
          </cell>
          <cell r="W37" t="str">
            <v>BDI 4</v>
          </cell>
          <cell r="X37" t="str">
            <v>BDI 5</v>
          </cell>
        </row>
        <row r="38">
          <cell r="A38">
            <v>43952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onerado-181"/>
    </sheetNames>
    <sheetDataSet>
      <sheetData sheetId="0">
        <row r="669">
          <cell r="B669" t="str">
            <v>Broca em concreto armado diâmetro de 20 cm - completa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opLeftCell="A16" zoomScale="90" zoomScaleNormal="90" workbookViewId="0">
      <selection activeCell="C46" sqref="C46"/>
    </sheetView>
  </sheetViews>
  <sheetFormatPr defaultRowHeight="15" x14ac:dyDescent="0.25"/>
  <cols>
    <col min="2" max="2" width="64" customWidth="1"/>
    <col min="3" max="3" width="22.85546875" customWidth="1"/>
    <col min="4" max="4" width="17.7109375" customWidth="1"/>
    <col min="5" max="5" width="16.85546875" customWidth="1"/>
    <col min="6" max="6" width="16.7109375" customWidth="1"/>
    <col min="7" max="7" width="17.85546875" customWidth="1"/>
    <col min="8" max="8" width="19.5703125" customWidth="1"/>
  </cols>
  <sheetData>
    <row r="1" spans="1:8" ht="15" customHeight="1" x14ac:dyDescent="0.25">
      <c r="A1" s="158" t="s">
        <v>422</v>
      </c>
      <c r="B1" s="158"/>
      <c r="C1" s="158"/>
      <c r="D1" s="158"/>
      <c r="E1" s="158"/>
      <c r="F1" s="158"/>
      <c r="G1" s="158"/>
    </row>
    <row r="2" spans="1:8" ht="15" customHeight="1" x14ac:dyDescent="0.25">
      <c r="A2" s="158"/>
      <c r="B2" s="158"/>
      <c r="C2" s="158"/>
      <c r="D2" s="158"/>
      <c r="E2" s="158"/>
      <c r="F2" s="158"/>
      <c r="G2" s="158"/>
    </row>
    <row r="3" spans="1:8" x14ac:dyDescent="0.25">
      <c r="A3" t="s">
        <v>180</v>
      </c>
    </row>
    <row r="4" spans="1:8" x14ac:dyDescent="0.25">
      <c r="A4" t="s">
        <v>181</v>
      </c>
    </row>
    <row r="5" spans="1:8" x14ac:dyDescent="0.25">
      <c r="A5" t="s">
        <v>182</v>
      </c>
      <c r="E5" t="s">
        <v>339</v>
      </c>
    </row>
    <row r="6" spans="1:8" x14ac:dyDescent="0.25">
      <c r="A6" t="s">
        <v>183</v>
      </c>
    </row>
    <row r="7" spans="1:8" ht="15.75" thickBot="1" x14ac:dyDescent="0.3">
      <c r="A7" s="20"/>
    </row>
    <row r="8" spans="1:8" ht="27" customHeight="1" x14ac:dyDescent="0.25">
      <c r="A8" s="163" t="s">
        <v>139</v>
      </c>
      <c r="B8" s="167" t="s">
        <v>142</v>
      </c>
      <c r="C8" s="165" t="s">
        <v>146</v>
      </c>
      <c r="D8" s="161" t="s">
        <v>423</v>
      </c>
      <c r="E8" s="159" t="s">
        <v>424</v>
      </c>
      <c r="F8" s="159" t="s">
        <v>425</v>
      </c>
      <c r="G8" s="159" t="s">
        <v>426</v>
      </c>
    </row>
    <row r="9" spans="1:8" ht="13.5" hidden="1" customHeight="1" x14ac:dyDescent="0.25">
      <c r="A9" s="164"/>
      <c r="B9" s="168"/>
      <c r="C9" s="166"/>
      <c r="D9" s="162"/>
      <c r="E9" s="160"/>
      <c r="F9" s="160"/>
      <c r="G9" s="160"/>
    </row>
    <row r="10" spans="1:8" ht="24.75" customHeight="1" x14ac:dyDescent="0.25">
      <c r="A10" s="139" t="s">
        <v>89</v>
      </c>
      <c r="B10" s="129" t="s">
        <v>217</v>
      </c>
      <c r="C10" s="140"/>
      <c r="D10" s="131"/>
      <c r="E10" s="146"/>
      <c r="F10" s="146"/>
      <c r="G10" s="146"/>
    </row>
    <row r="11" spans="1:8" ht="33" customHeight="1" x14ac:dyDescent="0.25">
      <c r="A11" s="141" t="s">
        <v>90</v>
      </c>
      <c r="B11" s="128" t="s">
        <v>3</v>
      </c>
      <c r="C11" s="142">
        <f>'Plan3 - ATUALIZADA'!I11</f>
        <v>8456.0499999999993</v>
      </c>
      <c r="D11" s="132"/>
      <c r="E11" s="138">
        <f>C11</f>
        <v>8456.0499999999993</v>
      </c>
      <c r="F11" s="137"/>
      <c r="G11" s="137"/>
    </row>
    <row r="12" spans="1:8" ht="33" customHeight="1" x14ac:dyDescent="0.25">
      <c r="A12" s="74" t="s">
        <v>185</v>
      </c>
      <c r="B12" s="76" t="s">
        <v>6</v>
      </c>
      <c r="C12" s="143">
        <f>'Plan3 - ATUALIZADA'!I14</f>
        <v>41201.769999999997</v>
      </c>
      <c r="D12" s="133">
        <f>C12</f>
        <v>41201.769999999997</v>
      </c>
      <c r="E12" s="137"/>
      <c r="F12" s="137"/>
      <c r="G12" s="137"/>
    </row>
    <row r="13" spans="1:8" ht="33" customHeight="1" x14ac:dyDescent="0.25">
      <c r="A13" s="74" t="s">
        <v>186</v>
      </c>
      <c r="B13" s="76" t="s">
        <v>111</v>
      </c>
      <c r="C13" s="143">
        <f>'Plan3 - ATUALIZADA'!I18</f>
        <v>17821.662400000001</v>
      </c>
      <c r="D13" s="132"/>
      <c r="E13" s="137"/>
      <c r="F13" s="138">
        <f>C13</f>
        <v>17821.662400000001</v>
      </c>
      <c r="G13" s="137"/>
    </row>
    <row r="14" spans="1:8" ht="33" customHeight="1" x14ac:dyDescent="0.25">
      <c r="A14" s="74" t="s">
        <v>187</v>
      </c>
      <c r="B14" s="76" t="s">
        <v>115</v>
      </c>
      <c r="C14" s="143">
        <f>'Plan3 - ATUALIZADA'!I22</f>
        <v>346.30599999999998</v>
      </c>
      <c r="D14" s="132"/>
      <c r="E14" s="137"/>
      <c r="F14" s="138">
        <f>C14</f>
        <v>346.30599999999998</v>
      </c>
      <c r="G14" s="137"/>
    </row>
    <row r="15" spans="1:8" ht="33" customHeight="1" x14ac:dyDescent="0.25">
      <c r="A15" s="74" t="s">
        <v>188</v>
      </c>
      <c r="B15" s="76" t="s">
        <v>127</v>
      </c>
      <c r="C15" s="143">
        <f>'Plan3 - ATUALIZADA'!I24</f>
        <v>29710.359900000003</v>
      </c>
      <c r="D15" s="132"/>
      <c r="E15" s="138">
        <f>C15</f>
        <v>29710.359900000003</v>
      </c>
      <c r="F15" s="137"/>
      <c r="G15" s="137"/>
    </row>
    <row r="16" spans="1:8" ht="33" customHeight="1" x14ac:dyDescent="0.25">
      <c r="A16" s="74" t="s">
        <v>192</v>
      </c>
      <c r="B16" s="76" t="s">
        <v>22</v>
      </c>
      <c r="C16" s="143">
        <f>'Plan3 - ATUALIZADA'!I31</f>
        <v>43461.930000000015</v>
      </c>
      <c r="D16" s="133">
        <v>8859.4500000000007</v>
      </c>
      <c r="E16" s="138">
        <f>19714.77-D16</f>
        <v>10855.32</v>
      </c>
      <c r="F16" s="138"/>
      <c r="G16" s="138">
        <f>43461.93-E16-D16</f>
        <v>23747.16</v>
      </c>
      <c r="H16" s="8"/>
    </row>
    <row r="17" spans="1:8" ht="33" customHeight="1" x14ac:dyDescent="0.25">
      <c r="A17" s="74" t="s">
        <v>362</v>
      </c>
      <c r="B17" s="76" t="s">
        <v>41</v>
      </c>
      <c r="C17" s="143">
        <f>'Plan3 - ATUALIZADA'!I55</f>
        <v>41089.670000000006</v>
      </c>
      <c r="D17" s="132">
        <v>26012.240000000002</v>
      </c>
      <c r="E17" s="138">
        <f>33449.16-D17</f>
        <v>7436.9200000000019</v>
      </c>
      <c r="F17" s="137"/>
      <c r="G17" s="138">
        <f>41089.67-E17-D17</f>
        <v>7640.5099999999984</v>
      </c>
      <c r="H17" s="8"/>
    </row>
    <row r="18" spans="1:8" ht="33" customHeight="1" x14ac:dyDescent="0.25">
      <c r="A18" s="74" t="s">
        <v>391</v>
      </c>
      <c r="B18" s="76" t="s">
        <v>70</v>
      </c>
      <c r="C18" s="143">
        <f>'Plan3 - ATUALIZADA'!I87</f>
        <v>26122.14</v>
      </c>
      <c r="D18" s="132"/>
      <c r="E18" s="138">
        <f>C18</f>
        <v>26122.14</v>
      </c>
      <c r="F18" s="137"/>
      <c r="G18" s="137"/>
    </row>
    <row r="19" spans="1:8" ht="33" customHeight="1" x14ac:dyDescent="0.25">
      <c r="A19" s="74" t="s">
        <v>395</v>
      </c>
      <c r="B19" s="76" t="s">
        <v>77</v>
      </c>
      <c r="C19" s="143">
        <f>'Plan3 - ATUALIZADA'!I94</f>
        <v>8720.4499999999971</v>
      </c>
      <c r="D19" s="133">
        <f>C19</f>
        <v>8720.4499999999971</v>
      </c>
      <c r="E19" s="137"/>
      <c r="F19" s="137"/>
      <c r="G19" s="137"/>
    </row>
    <row r="20" spans="1:8" ht="33" customHeight="1" x14ac:dyDescent="0.25">
      <c r="A20" s="74" t="s">
        <v>120</v>
      </c>
      <c r="B20" s="76" t="s">
        <v>82</v>
      </c>
      <c r="C20" s="143">
        <f>'Plan3 - ATUALIZADA'!I103</f>
        <v>74449.071299999996</v>
      </c>
      <c r="D20" s="132"/>
      <c r="E20" s="137"/>
      <c r="F20" s="138">
        <v>63247.92</v>
      </c>
      <c r="G20" s="138">
        <f>74449.07-F20</f>
        <v>11201.150000000009</v>
      </c>
    </row>
    <row r="21" spans="1:8" ht="33" customHeight="1" x14ac:dyDescent="0.25">
      <c r="A21" s="74" t="s">
        <v>126</v>
      </c>
      <c r="B21" s="76" t="s">
        <v>87</v>
      </c>
      <c r="C21" s="143">
        <f>'Plan3 - ATUALIZADA'!I109</f>
        <v>6589.64</v>
      </c>
      <c r="D21" s="132"/>
      <c r="E21" s="138">
        <f>C21</f>
        <v>6589.64</v>
      </c>
      <c r="F21" s="137"/>
      <c r="G21" s="137"/>
    </row>
    <row r="22" spans="1:8" ht="33" customHeight="1" x14ac:dyDescent="0.25">
      <c r="A22" s="144" t="s">
        <v>129</v>
      </c>
      <c r="B22" s="130" t="s">
        <v>88</v>
      </c>
      <c r="C22" s="145">
        <f>'Plan3 - ATUALIZADA'!I111</f>
        <v>3421.4400000000005</v>
      </c>
      <c r="D22" s="134"/>
      <c r="E22" s="147"/>
      <c r="F22" s="147"/>
      <c r="G22" s="150">
        <f>C22</f>
        <v>3421.4400000000005</v>
      </c>
    </row>
    <row r="23" spans="1:8" ht="30.75" customHeight="1" x14ac:dyDescent="0.25">
      <c r="A23" s="139" t="s">
        <v>218</v>
      </c>
      <c r="B23" s="129" t="s">
        <v>219</v>
      </c>
      <c r="C23" s="140"/>
      <c r="D23" s="135"/>
      <c r="E23" s="148"/>
      <c r="F23" s="148"/>
      <c r="G23" s="148"/>
    </row>
    <row r="24" spans="1:8" ht="32.25" customHeight="1" x14ac:dyDescent="0.25">
      <c r="A24" s="141" t="s">
        <v>220</v>
      </c>
      <c r="B24" s="128" t="s">
        <v>222</v>
      </c>
      <c r="C24" s="142">
        <f>'Plan3 - ATUALIZADA'!I115</f>
        <v>2612.7409246239999</v>
      </c>
      <c r="D24" s="136">
        <f>C24</f>
        <v>2612.7409246239999</v>
      </c>
      <c r="E24" s="149"/>
      <c r="F24" s="149"/>
      <c r="G24" s="149"/>
    </row>
    <row r="25" spans="1:8" ht="32.25" customHeight="1" x14ac:dyDescent="0.25">
      <c r="A25" s="74" t="s">
        <v>233</v>
      </c>
      <c r="B25" s="76" t="s">
        <v>236</v>
      </c>
      <c r="C25" s="143">
        <f>'Plan3 - ATUALIZADA'!I123</f>
        <v>1327.9907592000004</v>
      </c>
      <c r="D25" s="133">
        <f>C25</f>
        <v>1327.9907592000004</v>
      </c>
      <c r="E25" s="137"/>
      <c r="F25" s="137"/>
      <c r="G25" s="137"/>
    </row>
    <row r="26" spans="1:8" ht="32.25" customHeight="1" x14ac:dyDescent="0.25">
      <c r="A26" s="74" t="s">
        <v>237</v>
      </c>
      <c r="B26" s="76" t="s">
        <v>241</v>
      </c>
      <c r="C26" s="143">
        <f>'Plan3 - ATUALIZADA'!I125</f>
        <v>88693.203871859994</v>
      </c>
      <c r="D26" s="132"/>
      <c r="E26" s="138">
        <f>C26/3</f>
        <v>29564.401290619997</v>
      </c>
      <c r="F26" s="138">
        <f>C26/3</f>
        <v>29564.401290619997</v>
      </c>
      <c r="G26" s="138">
        <f>C26/3</f>
        <v>29564.401290619997</v>
      </c>
    </row>
    <row r="27" spans="1:8" ht="32.25" customHeight="1" x14ac:dyDescent="0.25">
      <c r="A27" s="74" t="s">
        <v>248</v>
      </c>
      <c r="B27" s="76" t="s">
        <v>249</v>
      </c>
      <c r="C27" s="143">
        <f>'Plan3 - ATUALIZADA'!I132</f>
        <v>22774.090089324003</v>
      </c>
      <c r="D27" s="132"/>
      <c r="E27" s="137"/>
      <c r="F27" s="138">
        <f>C27/2</f>
        <v>11387.045044662002</v>
      </c>
      <c r="G27" s="138">
        <f>C27/2</f>
        <v>11387.045044662002</v>
      </c>
    </row>
    <row r="28" spans="1:8" ht="32.25" customHeight="1" x14ac:dyDescent="0.25">
      <c r="A28" s="74" t="s">
        <v>314</v>
      </c>
      <c r="B28" s="76" t="s">
        <v>315</v>
      </c>
      <c r="C28" s="143">
        <f>'Plan3 - ATUALIZADA'!I152</f>
        <v>14783.986967334002</v>
      </c>
      <c r="D28" s="132"/>
      <c r="E28" s="137"/>
      <c r="F28" s="138">
        <f>C28/2</f>
        <v>7391.9934836670009</v>
      </c>
      <c r="G28" s="138">
        <f>C28/2</f>
        <v>7391.9934836670009</v>
      </c>
    </row>
    <row r="29" spans="1:8" ht="32.25" customHeight="1" x14ac:dyDescent="0.25">
      <c r="A29" s="74" t="s">
        <v>343</v>
      </c>
      <c r="B29" s="76" t="s">
        <v>344</v>
      </c>
      <c r="C29" s="143">
        <f>'Plan3 - ATUALIZADA'!I167</f>
        <v>14531.362850400001</v>
      </c>
      <c r="D29" s="137"/>
      <c r="E29" s="137"/>
      <c r="F29" s="137"/>
      <c r="G29" s="138">
        <f>C29</f>
        <v>14531.362850400001</v>
      </c>
    </row>
    <row r="30" spans="1:8" ht="32.25" customHeight="1" x14ac:dyDescent="0.25">
      <c r="A30" s="74" t="s">
        <v>348</v>
      </c>
      <c r="B30" s="76" t="s">
        <v>351</v>
      </c>
      <c r="C30" s="143">
        <f>'Plan3 - ATUALIZADA'!I170</f>
        <v>3161.0266277999999</v>
      </c>
      <c r="D30" s="137"/>
      <c r="E30" s="137"/>
      <c r="F30" s="137"/>
      <c r="G30" s="138">
        <f>C30</f>
        <v>3161.0266277999999</v>
      </c>
    </row>
    <row r="31" spans="1:8" ht="32.25" customHeight="1" x14ac:dyDescent="0.25">
      <c r="A31" s="74" t="s">
        <v>405</v>
      </c>
      <c r="B31" s="76" t="s">
        <v>406</v>
      </c>
      <c r="C31" s="143">
        <f>'Plan3 - ATUALIZADA'!I172</f>
        <v>1140.0034003200001</v>
      </c>
      <c r="D31" s="138">
        <f>C31</f>
        <v>1140.0034003200001</v>
      </c>
      <c r="E31" s="137"/>
      <c r="F31" s="137"/>
      <c r="G31" s="137"/>
    </row>
    <row r="32" spans="1:8" ht="32.25" customHeight="1" x14ac:dyDescent="0.25">
      <c r="A32" s="74" t="s">
        <v>410</v>
      </c>
      <c r="B32" s="76" t="s">
        <v>411</v>
      </c>
      <c r="C32" s="143">
        <f>'Plan3 - ATUALIZADA'!I174</f>
        <v>3301.7244351879608</v>
      </c>
      <c r="D32" s="137"/>
      <c r="E32" s="137"/>
      <c r="F32" s="138">
        <f>C32</f>
        <v>3301.7244351879608</v>
      </c>
      <c r="G32" s="137"/>
    </row>
    <row r="33" spans="1:8" ht="29.25" customHeight="1" thickBot="1" x14ac:dyDescent="0.3">
      <c r="A33" s="127"/>
      <c r="B33" s="151" t="s">
        <v>427</v>
      </c>
      <c r="C33" s="21">
        <f>SUM(C11:C32)</f>
        <v>453716.61952605005</v>
      </c>
      <c r="D33" s="152">
        <f>SUM(D11:D32)</f>
        <v>89874.645084143995</v>
      </c>
      <c r="E33" s="152">
        <f>SUM(E11:E32)</f>
        <v>118734.83119062</v>
      </c>
      <c r="F33" s="152">
        <f>SUM(F11:F32)</f>
        <v>133061.05265413696</v>
      </c>
      <c r="G33" s="152">
        <f>SUM(G11:G32)</f>
        <v>112046.08929714902</v>
      </c>
      <c r="H33" s="8"/>
    </row>
    <row r="34" spans="1:8" x14ac:dyDescent="0.25">
      <c r="D34" s="34"/>
      <c r="E34" s="34"/>
    </row>
    <row r="35" spans="1:8" ht="31.5" customHeight="1" x14ac:dyDescent="0.25">
      <c r="A35" s="79"/>
      <c r="B35" s="157"/>
      <c r="C35" s="157"/>
      <c r="D35" s="34"/>
      <c r="E35" s="156" t="s">
        <v>421</v>
      </c>
      <c r="F35" s="156"/>
      <c r="G35" s="156"/>
      <c r="H35" s="8"/>
    </row>
    <row r="36" spans="1:8" x14ac:dyDescent="0.25">
      <c r="E36" s="125"/>
      <c r="F36" s="125"/>
      <c r="G36" s="16"/>
    </row>
    <row r="37" spans="1:8" x14ac:dyDescent="0.25">
      <c r="E37" s="125"/>
      <c r="F37" s="125"/>
      <c r="G37" s="16"/>
    </row>
    <row r="38" spans="1:8" x14ac:dyDescent="0.25">
      <c r="C38" s="125"/>
      <c r="E38" s="156" t="s">
        <v>400</v>
      </c>
      <c r="F38" s="156"/>
      <c r="G38" s="156"/>
    </row>
    <row r="39" spans="1:8" x14ac:dyDescent="0.25">
      <c r="C39" s="125"/>
      <c r="E39" s="156" t="s">
        <v>401</v>
      </c>
      <c r="F39" s="156"/>
      <c r="G39" s="156"/>
    </row>
    <row r="40" spans="1:8" x14ac:dyDescent="0.25">
      <c r="C40" s="125"/>
      <c r="E40" s="156" t="s">
        <v>402</v>
      </c>
      <c r="F40" s="156"/>
      <c r="G40" s="156"/>
    </row>
  </sheetData>
  <mergeCells count="13">
    <mergeCell ref="E40:G40"/>
    <mergeCell ref="B35:C35"/>
    <mergeCell ref="A1:G2"/>
    <mergeCell ref="E35:G35"/>
    <mergeCell ref="E38:G38"/>
    <mergeCell ref="F8:F9"/>
    <mergeCell ref="G8:G9"/>
    <mergeCell ref="E39:G39"/>
    <mergeCell ref="D8:D9"/>
    <mergeCell ref="E8:E9"/>
    <mergeCell ref="A8:A9"/>
    <mergeCell ref="C8:C9"/>
    <mergeCell ref="B8:B9"/>
  </mergeCells>
  <conditionalFormatting sqref="D11:D22">
    <cfRule type="expression" dxfId="122" priority="98" stopIfTrue="1">
      <formula>OR(Nível="Meta",Nível="Nível")</formula>
    </cfRule>
  </conditionalFormatting>
  <conditionalFormatting sqref="D24">
    <cfRule type="expression" dxfId="121" priority="85" stopIfTrue="1">
      <formula>OR(Nível="Meta",Nível="Nível")</formula>
    </cfRule>
  </conditionalFormatting>
  <conditionalFormatting sqref="D25">
    <cfRule type="expression" dxfId="120" priority="81" stopIfTrue="1">
      <formula>OR(Nível="Meta",Nível="Nível")</formula>
    </cfRule>
  </conditionalFormatting>
  <conditionalFormatting sqref="D26">
    <cfRule type="expression" dxfId="119" priority="78" stopIfTrue="1">
      <formula>OR(Nível="Meta",Nível="Nível")</formula>
    </cfRule>
  </conditionalFormatting>
  <conditionalFormatting sqref="D27">
    <cfRule type="expression" dxfId="118" priority="71" stopIfTrue="1">
      <formula>OR(Nível="Meta",Nível="Nível")</formula>
    </cfRule>
  </conditionalFormatting>
  <conditionalFormatting sqref="D28">
    <cfRule type="expression" dxfId="117" priority="42" stopIfTrue="1">
      <formula>OR(Nível="Meta",Nível="Nível")</formula>
    </cfRule>
  </conditionalFormatting>
  <dataValidations disablePrompts="1" count="1">
    <dataValidation type="list" allowBlank="1" showInputMessage="1" showErrorMessage="1" sqref="D11:D22 D24:D28">
      <formula1>OFFSET(TituloEventos,0,0,,1)</formula1>
    </dataValidation>
  </dataValidations>
  <pageMargins left="0.31496062992125984" right="0.31496062992125984" top="0.39370078740157483" bottom="0.39370078740157483" header="0.31496062992125984" footer="0.31496062992125984"/>
  <pageSetup paperSize="9" scale="58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6"/>
  <sheetViews>
    <sheetView tabSelected="1" zoomScale="90" zoomScaleNormal="90" workbookViewId="0">
      <selection activeCell="D200" sqref="D200"/>
    </sheetView>
  </sheetViews>
  <sheetFormatPr defaultRowHeight="15" x14ac:dyDescent="0.25"/>
  <cols>
    <col min="3" max="3" width="12" customWidth="1"/>
    <col min="4" max="4" width="64" customWidth="1"/>
    <col min="5" max="5" width="9.85546875" style="9" customWidth="1"/>
    <col min="6" max="6" width="9.5703125" style="9" bestFit="1" customWidth="1"/>
    <col min="7" max="7" width="14.28515625" style="16" customWidth="1"/>
    <col min="8" max="8" width="14" customWidth="1"/>
    <col min="9" max="9" width="18.7109375" customWidth="1"/>
    <col min="10" max="10" width="32.140625" customWidth="1"/>
    <col min="11" max="11" width="34.85546875" customWidth="1"/>
  </cols>
  <sheetData>
    <row r="1" spans="1:12" ht="15" customHeight="1" x14ac:dyDescent="0.25">
      <c r="A1" s="158" t="s">
        <v>184</v>
      </c>
      <c r="B1" s="158"/>
      <c r="C1" s="158"/>
      <c r="D1" s="158"/>
      <c r="E1" s="158"/>
      <c r="F1" s="158"/>
      <c r="G1" s="158"/>
      <c r="H1" s="158"/>
      <c r="I1" s="158"/>
      <c r="J1" s="158"/>
      <c r="K1" s="126"/>
    </row>
    <row r="2" spans="1:12" ht="15" customHeight="1" x14ac:dyDescent="0.25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26"/>
    </row>
    <row r="3" spans="1:12" x14ac:dyDescent="0.25">
      <c r="A3" t="s">
        <v>180</v>
      </c>
      <c r="E3" s="183" t="s">
        <v>341</v>
      </c>
      <c r="F3" s="183"/>
      <c r="G3" s="100">
        <v>45261</v>
      </c>
    </row>
    <row r="4" spans="1:12" x14ac:dyDescent="0.25">
      <c r="A4" t="s">
        <v>181</v>
      </c>
      <c r="E4" s="183" t="s">
        <v>0</v>
      </c>
      <c r="F4" s="183"/>
      <c r="G4" s="100">
        <v>45261</v>
      </c>
    </row>
    <row r="5" spans="1:12" x14ac:dyDescent="0.25">
      <c r="A5" t="s">
        <v>182</v>
      </c>
      <c r="E5" s="183" t="s">
        <v>9</v>
      </c>
      <c r="F5" s="183"/>
      <c r="G5" s="100">
        <v>45200</v>
      </c>
      <c r="K5" t="s">
        <v>339</v>
      </c>
    </row>
    <row r="6" spans="1:12" x14ac:dyDescent="0.25">
      <c r="A6" t="s">
        <v>183</v>
      </c>
      <c r="E6" s="183" t="s">
        <v>232</v>
      </c>
      <c r="F6" s="183"/>
      <c r="G6" s="101">
        <v>192</v>
      </c>
    </row>
    <row r="7" spans="1:12" ht="15.75" thickBot="1" x14ac:dyDescent="0.3">
      <c r="A7" s="20" t="s">
        <v>210</v>
      </c>
      <c r="B7" s="7">
        <v>0.2354</v>
      </c>
    </row>
    <row r="8" spans="1:12" ht="31.5" customHeight="1" thickBot="1" x14ac:dyDescent="0.3">
      <c r="A8" s="163" t="s">
        <v>139</v>
      </c>
      <c r="B8" s="181" t="s">
        <v>140</v>
      </c>
      <c r="C8" s="181" t="s">
        <v>141</v>
      </c>
      <c r="D8" s="167" t="s">
        <v>142</v>
      </c>
      <c r="E8" s="181" t="s">
        <v>143</v>
      </c>
      <c r="F8" s="167" t="s">
        <v>144</v>
      </c>
      <c r="G8" s="176" t="s">
        <v>342</v>
      </c>
      <c r="H8" s="177"/>
      <c r="I8" s="178"/>
      <c r="J8" s="161" t="s">
        <v>148</v>
      </c>
      <c r="K8" s="159" t="s">
        <v>202</v>
      </c>
    </row>
    <row r="9" spans="1:12" ht="36.75" customHeight="1" thickBot="1" x14ac:dyDescent="0.3">
      <c r="A9" s="180"/>
      <c r="B9" s="182"/>
      <c r="C9" s="182"/>
      <c r="D9" s="170"/>
      <c r="E9" s="182"/>
      <c r="F9" s="170"/>
      <c r="G9" s="35" t="s">
        <v>145</v>
      </c>
      <c r="H9" s="36" t="s">
        <v>147</v>
      </c>
      <c r="I9" s="109" t="s">
        <v>146</v>
      </c>
      <c r="J9" s="179"/>
      <c r="K9" s="175"/>
    </row>
    <row r="10" spans="1:12" ht="15.75" x14ac:dyDescent="0.25">
      <c r="A10" s="37" t="s">
        <v>89</v>
      </c>
      <c r="B10" s="38"/>
      <c r="C10" s="38"/>
      <c r="D10" s="39" t="s">
        <v>217</v>
      </c>
      <c r="E10" s="40"/>
      <c r="F10" s="40"/>
      <c r="G10" s="41"/>
      <c r="H10" s="42"/>
      <c r="I10" s="42"/>
      <c r="J10" s="123"/>
      <c r="K10" s="43"/>
    </row>
    <row r="11" spans="1:12" ht="15.75" x14ac:dyDescent="0.25">
      <c r="A11" s="44" t="s">
        <v>90</v>
      </c>
      <c r="B11" s="45"/>
      <c r="C11" s="45"/>
      <c r="D11" s="46" t="s">
        <v>3</v>
      </c>
      <c r="E11" s="12"/>
      <c r="F11" s="12"/>
      <c r="G11" s="23"/>
      <c r="H11" s="13"/>
      <c r="I11" s="112">
        <f>SUM(I12:I13)</f>
        <v>8456.0499999999993</v>
      </c>
      <c r="J11" s="121"/>
      <c r="K11" s="43"/>
    </row>
    <row r="12" spans="1:12" ht="47.25" x14ac:dyDescent="0.25">
      <c r="A12" s="47" t="s">
        <v>91</v>
      </c>
      <c r="B12" s="48" t="s">
        <v>0</v>
      </c>
      <c r="C12" s="10">
        <v>94227</v>
      </c>
      <c r="D12" s="49" t="s">
        <v>5</v>
      </c>
      <c r="E12" s="10" t="s">
        <v>137</v>
      </c>
      <c r="F12" s="17">
        <v>71</v>
      </c>
      <c r="G12" s="22">
        <v>67.75</v>
      </c>
      <c r="H12" s="11">
        <f t="shared" ref="H12:H13" si="0">ROUND(G12*(1+$B$7),2)</f>
        <v>83.7</v>
      </c>
      <c r="I12" s="113">
        <f>ROUND(H12*F12,2)</f>
        <v>5942.7</v>
      </c>
      <c r="J12" s="120" t="s">
        <v>149</v>
      </c>
      <c r="K12" s="50"/>
      <c r="L12" t="s">
        <v>339</v>
      </c>
    </row>
    <row r="13" spans="1:12" ht="36.75" customHeight="1" x14ac:dyDescent="0.25">
      <c r="A13" s="47" t="s">
        <v>92</v>
      </c>
      <c r="B13" s="48" t="s">
        <v>0</v>
      </c>
      <c r="C13" s="10">
        <v>89512</v>
      </c>
      <c r="D13" s="49" t="s">
        <v>201</v>
      </c>
      <c r="E13" s="10" t="s">
        <v>137</v>
      </c>
      <c r="F13" s="17">
        <v>35</v>
      </c>
      <c r="G13" s="22">
        <v>58.13</v>
      </c>
      <c r="H13" s="11">
        <f t="shared" si="0"/>
        <v>71.81</v>
      </c>
      <c r="I13" s="113">
        <f>ROUND(H13*F13,2)</f>
        <v>2513.35</v>
      </c>
      <c r="J13" s="110" t="s">
        <v>150</v>
      </c>
      <c r="K13" s="51"/>
    </row>
    <row r="14" spans="1:12" ht="15.75" x14ac:dyDescent="0.25">
      <c r="A14" s="44" t="s">
        <v>185</v>
      </c>
      <c r="B14" s="45"/>
      <c r="C14" s="45"/>
      <c r="D14" s="46" t="s">
        <v>6</v>
      </c>
      <c r="E14" s="12"/>
      <c r="F14" s="18"/>
      <c r="G14" s="23"/>
      <c r="H14" s="13"/>
      <c r="I14" s="112">
        <f>SUM(I15:I17)</f>
        <v>41201.769999999997</v>
      </c>
      <c r="J14" s="14"/>
      <c r="K14" s="52"/>
    </row>
    <row r="15" spans="1:12" ht="78.75" x14ac:dyDescent="0.25">
      <c r="A15" s="47" t="s">
        <v>93</v>
      </c>
      <c r="B15" s="48" t="s">
        <v>0</v>
      </c>
      <c r="C15" s="10">
        <v>90843</v>
      </c>
      <c r="D15" s="49" t="s">
        <v>7</v>
      </c>
      <c r="E15" s="10" t="s">
        <v>138</v>
      </c>
      <c r="F15" s="17">
        <v>14</v>
      </c>
      <c r="G15" s="22">
        <v>1334.88</v>
      </c>
      <c r="H15" s="11">
        <f t="shared" ref="H15:H17" si="1">ROUND(G15*(1+$B$7),2)</f>
        <v>1649.11</v>
      </c>
      <c r="I15" s="113">
        <f>H15*F15</f>
        <v>23087.539999999997</v>
      </c>
      <c r="J15" s="120" t="s">
        <v>151</v>
      </c>
      <c r="K15" s="50"/>
    </row>
    <row r="16" spans="1:12" ht="78.75" x14ac:dyDescent="0.25">
      <c r="A16" s="47" t="s">
        <v>94</v>
      </c>
      <c r="B16" s="48" t="s">
        <v>0</v>
      </c>
      <c r="C16" s="10">
        <v>90842</v>
      </c>
      <c r="D16" s="49" t="s">
        <v>8</v>
      </c>
      <c r="E16" s="10" t="s">
        <v>138</v>
      </c>
      <c r="F16" s="17">
        <v>5</v>
      </c>
      <c r="G16" s="22">
        <v>1275.24</v>
      </c>
      <c r="H16" s="11">
        <f t="shared" si="1"/>
        <v>1575.43</v>
      </c>
      <c r="I16" s="113">
        <f>H16*F16</f>
        <v>7877.1500000000005</v>
      </c>
      <c r="J16" s="120" t="s">
        <v>151</v>
      </c>
      <c r="K16" s="50"/>
    </row>
    <row r="17" spans="1:11" ht="47.25" customHeight="1" x14ac:dyDescent="0.25">
      <c r="A17" s="47" t="s">
        <v>95</v>
      </c>
      <c r="B17" s="10" t="s">
        <v>9</v>
      </c>
      <c r="C17" s="10" t="s">
        <v>174</v>
      </c>
      <c r="D17" s="49" t="s">
        <v>10</v>
      </c>
      <c r="E17" s="10" t="s">
        <v>138</v>
      </c>
      <c r="F17" s="17">
        <v>4</v>
      </c>
      <c r="G17" s="22">
        <f>2573.43*(1-0.195)</f>
        <v>2071.6111499999997</v>
      </c>
      <c r="H17" s="11">
        <f t="shared" si="1"/>
        <v>2559.27</v>
      </c>
      <c r="I17" s="113">
        <f>H17*F17</f>
        <v>10237.08</v>
      </c>
      <c r="J17" s="120" t="s">
        <v>152</v>
      </c>
      <c r="K17" s="53"/>
    </row>
    <row r="18" spans="1:11" ht="15.75" x14ac:dyDescent="0.25">
      <c r="A18" s="44" t="s">
        <v>186</v>
      </c>
      <c r="B18" s="45"/>
      <c r="C18" s="45"/>
      <c r="D18" s="46" t="s">
        <v>111</v>
      </c>
      <c r="E18" s="12"/>
      <c r="F18" s="18"/>
      <c r="G18" s="23"/>
      <c r="H18" s="13"/>
      <c r="I18" s="112">
        <f>SUM(I19:I21)</f>
        <v>17821.662400000001</v>
      </c>
      <c r="J18" s="14"/>
      <c r="K18" s="52"/>
    </row>
    <row r="19" spans="1:11" ht="47.25" x14ac:dyDescent="0.25">
      <c r="A19" s="47" t="s">
        <v>96</v>
      </c>
      <c r="B19" s="48" t="s">
        <v>0</v>
      </c>
      <c r="C19" s="10">
        <v>94570</v>
      </c>
      <c r="D19" s="49" t="s">
        <v>11</v>
      </c>
      <c r="E19" s="10" t="s">
        <v>136</v>
      </c>
      <c r="F19" s="17">
        <v>22</v>
      </c>
      <c r="G19" s="22">
        <v>338.11</v>
      </c>
      <c r="H19" s="11">
        <v>417.7</v>
      </c>
      <c r="I19" s="113">
        <f>H19*F19</f>
        <v>9189.4</v>
      </c>
      <c r="J19" s="120" t="s">
        <v>153</v>
      </c>
      <c r="K19" s="50"/>
    </row>
    <row r="20" spans="1:11" ht="47.25" x14ac:dyDescent="0.25">
      <c r="A20" s="47" t="s">
        <v>97</v>
      </c>
      <c r="B20" s="48" t="s">
        <v>0</v>
      </c>
      <c r="C20" s="10">
        <v>94569</v>
      </c>
      <c r="D20" s="49" t="s">
        <v>12</v>
      </c>
      <c r="E20" s="10" t="s">
        <v>136</v>
      </c>
      <c r="F20" s="17">
        <v>7.68</v>
      </c>
      <c r="G20" s="22">
        <v>661.15</v>
      </c>
      <c r="H20" s="11">
        <v>816.78</v>
      </c>
      <c r="I20" s="113">
        <f>H20*F20</f>
        <v>6272.8703999999998</v>
      </c>
      <c r="J20" s="120" t="s">
        <v>153</v>
      </c>
      <c r="K20" s="53" t="s">
        <v>221</v>
      </c>
    </row>
    <row r="21" spans="1:11" ht="47.25" x14ac:dyDescent="0.25">
      <c r="A21" s="47" t="s">
        <v>216</v>
      </c>
      <c r="B21" s="48" t="s">
        <v>0</v>
      </c>
      <c r="C21" s="10">
        <v>100702</v>
      </c>
      <c r="D21" s="49" t="s">
        <v>203</v>
      </c>
      <c r="E21" s="10" t="s">
        <v>136</v>
      </c>
      <c r="F21" s="17">
        <v>4.2</v>
      </c>
      <c r="G21" s="22">
        <v>454.72</v>
      </c>
      <c r="H21" s="11">
        <f>ROUND(G21*(1+$B$7),2)</f>
        <v>561.76</v>
      </c>
      <c r="I21" s="113">
        <f>H21*F21</f>
        <v>2359.3920000000003</v>
      </c>
      <c r="J21" s="110" t="s">
        <v>153</v>
      </c>
      <c r="K21" s="54"/>
    </row>
    <row r="22" spans="1:11" ht="15.75" x14ac:dyDescent="0.25">
      <c r="A22" s="44" t="s">
        <v>187</v>
      </c>
      <c r="B22" s="45"/>
      <c r="C22" s="45"/>
      <c r="D22" s="46" t="s">
        <v>115</v>
      </c>
      <c r="E22" s="12"/>
      <c r="F22" s="18"/>
      <c r="G22" s="23"/>
      <c r="H22" s="13"/>
      <c r="I22" s="112">
        <f>I23</f>
        <v>346.30599999999998</v>
      </c>
      <c r="J22" s="14"/>
      <c r="K22" s="52"/>
    </row>
    <row r="23" spans="1:11" ht="63" x14ac:dyDescent="0.25">
      <c r="A23" s="47" t="s">
        <v>98</v>
      </c>
      <c r="B23" s="48" t="s">
        <v>0</v>
      </c>
      <c r="C23" s="10">
        <v>87267</v>
      </c>
      <c r="D23" s="49" t="s">
        <v>16</v>
      </c>
      <c r="E23" s="10" t="s">
        <v>136</v>
      </c>
      <c r="F23" s="17">
        <v>3.47</v>
      </c>
      <c r="G23" s="22">
        <v>80.78</v>
      </c>
      <c r="H23" s="11">
        <f>ROUND(G23*(1+$B$7),2)</f>
        <v>99.8</v>
      </c>
      <c r="I23" s="113">
        <f>H23*F23</f>
        <v>346.30599999999998</v>
      </c>
      <c r="J23" s="120" t="s">
        <v>154</v>
      </c>
      <c r="K23" s="50"/>
    </row>
    <row r="24" spans="1:11" ht="15.75" x14ac:dyDescent="0.25">
      <c r="A24" s="44" t="s">
        <v>188</v>
      </c>
      <c r="B24" s="45"/>
      <c r="C24" s="45"/>
      <c r="D24" s="46" t="s">
        <v>127</v>
      </c>
      <c r="E24" s="12"/>
      <c r="F24" s="18"/>
      <c r="G24" s="23"/>
      <c r="H24" s="13"/>
      <c r="I24" s="112">
        <f>SUM(I25:I30)</f>
        <v>29710.359900000003</v>
      </c>
      <c r="J24" s="14"/>
      <c r="K24" s="52"/>
    </row>
    <row r="25" spans="1:11" ht="47.25" x14ac:dyDescent="0.25">
      <c r="A25" s="47" t="s">
        <v>99</v>
      </c>
      <c r="B25" s="48" t="s">
        <v>0</v>
      </c>
      <c r="C25" s="10">
        <v>97083</v>
      </c>
      <c r="D25" s="49" t="s">
        <v>17</v>
      </c>
      <c r="E25" s="10" t="s">
        <v>135</v>
      </c>
      <c r="F25" s="17">
        <v>66.010000000000005</v>
      </c>
      <c r="G25" s="22">
        <v>4.1500000000000004</v>
      </c>
      <c r="H25" s="11">
        <f t="shared" ref="H25:H29" si="2">ROUND(G25*(1+$B$7),2)</f>
        <v>5.13</v>
      </c>
      <c r="I25" s="113">
        <f t="shared" ref="I25:I29" si="3">H25*F25</f>
        <v>338.63130000000001</v>
      </c>
      <c r="J25" s="120" t="s">
        <v>155</v>
      </c>
      <c r="K25" s="50"/>
    </row>
    <row r="26" spans="1:11" ht="31.5" x14ac:dyDescent="0.25">
      <c r="A26" s="47" t="s">
        <v>100</v>
      </c>
      <c r="B26" s="48" t="s">
        <v>0</v>
      </c>
      <c r="C26" s="10">
        <v>95241</v>
      </c>
      <c r="D26" s="49" t="s">
        <v>18</v>
      </c>
      <c r="E26" s="10" t="s">
        <v>136</v>
      </c>
      <c r="F26" s="17">
        <v>52.45</v>
      </c>
      <c r="G26" s="22">
        <v>29.63</v>
      </c>
      <c r="H26" s="11">
        <f t="shared" si="2"/>
        <v>36.6</v>
      </c>
      <c r="I26" s="113">
        <f t="shared" si="3"/>
        <v>1919.67</v>
      </c>
      <c r="J26" s="120" t="s">
        <v>155</v>
      </c>
      <c r="K26" s="55" t="s">
        <v>254</v>
      </c>
    </row>
    <row r="27" spans="1:11" ht="47.25" x14ac:dyDescent="0.25">
      <c r="A27" s="47" t="s">
        <v>189</v>
      </c>
      <c r="B27" s="48" t="s">
        <v>0</v>
      </c>
      <c r="C27" s="10">
        <v>98682</v>
      </c>
      <c r="D27" s="49" t="s">
        <v>20</v>
      </c>
      <c r="E27" s="10" t="s">
        <v>136</v>
      </c>
      <c r="F27" s="17">
        <v>52.45</v>
      </c>
      <c r="G27" s="22">
        <v>41.98</v>
      </c>
      <c r="H27" s="11">
        <f t="shared" si="2"/>
        <v>51.86</v>
      </c>
      <c r="I27" s="113">
        <f t="shared" si="3"/>
        <v>2720.0570000000002</v>
      </c>
      <c r="J27" s="120" t="s">
        <v>155</v>
      </c>
      <c r="K27" s="55" t="s">
        <v>254</v>
      </c>
    </row>
    <row r="28" spans="1:11" ht="47.25" x14ac:dyDescent="0.25">
      <c r="A28" s="47" t="s">
        <v>190</v>
      </c>
      <c r="B28" s="48" t="s">
        <v>0</v>
      </c>
      <c r="C28" s="10">
        <v>87622</v>
      </c>
      <c r="D28" s="49" t="s">
        <v>19</v>
      </c>
      <c r="E28" s="10" t="s">
        <v>136</v>
      </c>
      <c r="F28" s="17">
        <v>52.45</v>
      </c>
      <c r="G28" s="22">
        <v>35.11</v>
      </c>
      <c r="H28" s="11">
        <f t="shared" si="2"/>
        <v>43.37</v>
      </c>
      <c r="I28" s="113">
        <f t="shared" si="3"/>
        <v>2274.7565</v>
      </c>
      <c r="J28" s="120" t="s">
        <v>155</v>
      </c>
      <c r="K28" s="55" t="s">
        <v>254</v>
      </c>
    </row>
    <row r="29" spans="1:11" ht="31.5" x14ac:dyDescent="0.25">
      <c r="A29" s="47" t="s">
        <v>215</v>
      </c>
      <c r="B29" s="48" t="s">
        <v>0</v>
      </c>
      <c r="C29" s="10">
        <v>103913</v>
      </c>
      <c r="D29" s="49" t="s">
        <v>204</v>
      </c>
      <c r="E29" s="10" t="s">
        <v>136</v>
      </c>
      <c r="F29" s="17">
        <v>141.49</v>
      </c>
      <c r="G29" s="22">
        <v>110.85</v>
      </c>
      <c r="H29" s="11">
        <f t="shared" si="2"/>
        <v>136.94</v>
      </c>
      <c r="I29" s="113">
        <f t="shared" si="3"/>
        <v>19375.640600000002</v>
      </c>
      <c r="J29" s="110" t="s">
        <v>156</v>
      </c>
      <c r="K29" s="54"/>
    </row>
    <row r="30" spans="1:11" ht="47.25" x14ac:dyDescent="0.25">
      <c r="A30" s="47" t="s">
        <v>191</v>
      </c>
      <c r="B30" s="48" t="s">
        <v>0</v>
      </c>
      <c r="C30" s="10">
        <v>94990</v>
      </c>
      <c r="D30" s="49" t="s">
        <v>21</v>
      </c>
      <c r="E30" s="10" t="s">
        <v>135</v>
      </c>
      <c r="F30" s="17">
        <v>3.51</v>
      </c>
      <c r="G30" s="22">
        <v>710.66</v>
      </c>
      <c r="H30" s="11">
        <v>877.95</v>
      </c>
      <c r="I30" s="113">
        <f>H30*F30</f>
        <v>3081.6044999999999</v>
      </c>
      <c r="J30" s="120" t="s">
        <v>157</v>
      </c>
      <c r="K30" s="50"/>
    </row>
    <row r="31" spans="1:11" ht="15.75" x14ac:dyDescent="0.25">
      <c r="A31" s="44" t="s">
        <v>192</v>
      </c>
      <c r="B31" s="45"/>
      <c r="C31" s="45"/>
      <c r="D31" s="46" t="s">
        <v>22</v>
      </c>
      <c r="E31" s="12"/>
      <c r="F31" s="18"/>
      <c r="G31" s="23"/>
      <c r="H31" s="13"/>
      <c r="I31" s="112">
        <f>SUM(I32:I54)</f>
        <v>43461.930000000015</v>
      </c>
      <c r="J31" s="14"/>
      <c r="K31" s="52"/>
    </row>
    <row r="32" spans="1:11" ht="47.25" x14ac:dyDescent="0.25">
      <c r="A32" s="47" t="s">
        <v>101</v>
      </c>
      <c r="B32" s="48" t="s">
        <v>0</v>
      </c>
      <c r="C32" s="10">
        <v>89482</v>
      </c>
      <c r="D32" s="49" t="s">
        <v>23</v>
      </c>
      <c r="E32" s="10" t="s">
        <v>138</v>
      </c>
      <c r="F32" s="17">
        <v>11</v>
      </c>
      <c r="G32" s="22">
        <v>44.1</v>
      </c>
      <c r="H32" s="11">
        <f t="shared" ref="H32:H54" si="4">ROUND(G32*(1+$B$7),2)</f>
        <v>54.48</v>
      </c>
      <c r="I32" s="113">
        <f t="shared" ref="I32:I54" si="5">H32*F32</f>
        <v>599.28</v>
      </c>
      <c r="J32" s="120" t="s">
        <v>158</v>
      </c>
      <c r="K32" s="50"/>
    </row>
    <row r="33" spans="1:11" ht="31.5" x14ac:dyDescent="0.25">
      <c r="A33" s="47" t="s">
        <v>102</v>
      </c>
      <c r="B33" s="10" t="s">
        <v>9</v>
      </c>
      <c r="C33" s="10" t="s">
        <v>211</v>
      </c>
      <c r="D33" s="56" t="s">
        <v>212</v>
      </c>
      <c r="E33" s="10" t="s">
        <v>138</v>
      </c>
      <c r="F33" s="17">
        <v>12</v>
      </c>
      <c r="G33" s="22">
        <f>639.4*(1-0.195)</f>
        <v>514.71699999999998</v>
      </c>
      <c r="H33" s="11">
        <v>635.89</v>
      </c>
      <c r="I33" s="113">
        <f t="shared" si="5"/>
        <v>7630.68</v>
      </c>
      <c r="J33" s="110" t="s">
        <v>158</v>
      </c>
      <c r="K33" s="54"/>
    </row>
    <row r="34" spans="1:11" ht="47.25" x14ac:dyDescent="0.25">
      <c r="A34" s="47" t="s">
        <v>103</v>
      </c>
      <c r="B34" s="48" t="s">
        <v>0</v>
      </c>
      <c r="C34" s="10">
        <v>98104</v>
      </c>
      <c r="D34" s="49" t="s">
        <v>24</v>
      </c>
      <c r="E34" s="10" t="s">
        <v>138</v>
      </c>
      <c r="F34" s="17">
        <v>1</v>
      </c>
      <c r="G34" s="22">
        <v>399.08</v>
      </c>
      <c r="H34" s="11">
        <f t="shared" si="4"/>
        <v>493.02</v>
      </c>
      <c r="I34" s="113">
        <f t="shared" si="5"/>
        <v>493.02</v>
      </c>
      <c r="J34" s="120" t="s">
        <v>158</v>
      </c>
      <c r="K34" s="50"/>
    </row>
    <row r="35" spans="1:11" ht="47.25" x14ac:dyDescent="0.25">
      <c r="A35" s="47" t="s">
        <v>104</v>
      </c>
      <c r="B35" s="48" t="s">
        <v>0</v>
      </c>
      <c r="C35" s="10">
        <v>89709</v>
      </c>
      <c r="D35" s="49" t="s">
        <v>25</v>
      </c>
      <c r="E35" s="10" t="s">
        <v>138</v>
      </c>
      <c r="F35" s="17">
        <v>1</v>
      </c>
      <c r="G35" s="22">
        <v>24.48</v>
      </c>
      <c r="H35" s="11">
        <f t="shared" si="4"/>
        <v>30.24</v>
      </c>
      <c r="I35" s="113">
        <f t="shared" si="5"/>
        <v>30.24</v>
      </c>
      <c r="J35" s="120" t="s">
        <v>158</v>
      </c>
      <c r="K35" s="50"/>
    </row>
    <row r="36" spans="1:11" ht="15.75" x14ac:dyDescent="0.25">
      <c r="A36" s="47" t="s">
        <v>105</v>
      </c>
      <c r="B36" s="10" t="s">
        <v>9</v>
      </c>
      <c r="C36" s="10" t="s">
        <v>175</v>
      </c>
      <c r="D36" s="49" t="s">
        <v>26</v>
      </c>
      <c r="E36" s="10" t="s">
        <v>27</v>
      </c>
      <c r="F36" s="17">
        <v>2</v>
      </c>
      <c r="G36" s="22">
        <f>4072.15*(1-0.195)</f>
        <v>3278.0807499999996</v>
      </c>
      <c r="H36" s="11">
        <f t="shared" si="4"/>
        <v>4049.74</v>
      </c>
      <c r="I36" s="113">
        <f t="shared" si="5"/>
        <v>8099.48</v>
      </c>
      <c r="J36" s="120" t="s">
        <v>159</v>
      </c>
      <c r="K36" s="50"/>
    </row>
    <row r="37" spans="1:11" ht="42.75" customHeight="1" x14ac:dyDescent="0.25">
      <c r="A37" s="47" t="s">
        <v>106</v>
      </c>
      <c r="B37" s="48" t="s">
        <v>0</v>
      </c>
      <c r="C37" s="10">
        <v>89356</v>
      </c>
      <c r="D37" s="49" t="s">
        <v>205</v>
      </c>
      <c r="E37" s="10" t="s">
        <v>179</v>
      </c>
      <c r="F37" s="17">
        <v>72</v>
      </c>
      <c r="G37" s="22">
        <v>29.48</v>
      </c>
      <c r="H37" s="11">
        <f t="shared" si="4"/>
        <v>36.42</v>
      </c>
      <c r="I37" s="113">
        <f t="shared" si="5"/>
        <v>2622.2400000000002</v>
      </c>
      <c r="J37" s="110" t="s">
        <v>160</v>
      </c>
      <c r="K37" s="54"/>
    </row>
    <row r="38" spans="1:11" ht="31.5" x14ac:dyDescent="0.25">
      <c r="A38" s="47" t="s">
        <v>107</v>
      </c>
      <c r="B38" s="48" t="s">
        <v>0</v>
      </c>
      <c r="C38" s="10">
        <v>90371</v>
      </c>
      <c r="D38" s="49" t="s">
        <v>28</v>
      </c>
      <c r="E38" s="10" t="s">
        <v>138</v>
      </c>
      <c r="F38" s="17">
        <v>4</v>
      </c>
      <c r="G38" s="22">
        <v>36.03</v>
      </c>
      <c r="H38" s="11">
        <f t="shared" si="4"/>
        <v>44.51</v>
      </c>
      <c r="I38" s="113">
        <f t="shared" si="5"/>
        <v>178.04</v>
      </c>
      <c r="J38" s="120" t="s">
        <v>159</v>
      </c>
      <c r="K38" s="50"/>
    </row>
    <row r="39" spans="1:11" ht="31.5" x14ac:dyDescent="0.25">
      <c r="A39" s="47" t="s">
        <v>193</v>
      </c>
      <c r="B39" s="10" t="s">
        <v>13</v>
      </c>
      <c r="C39" s="10">
        <v>6024</v>
      </c>
      <c r="D39" s="49" t="s">
        <v>29</v>
      </c>
      <c r="E39" s="10" t="s">
        <v>138</v>
      </c>
      <c r="F39" s="17">
        <v>10</v>
      </c>
      <c r="G39" s="22">
        <v>72.569999999999993</v>
      </c>
      <c r="H39" s="11">
        <f t="shared" si="4"/>
        <v>89.65</v>
      </c>
      <c r="I39" s="113">
        <f t="shared" si="5"/>
        <v>896.5</v>
      </c>
      <c r="J39" s="120" t="s">
        <v>159</v>
      </c>
      <c r="K39" s="50"/>
    </row>
    <row r="40" spans="1:11" ht="31.5" x14ac:dyDescent="0.25">
      <c r="A40" s="47" t="s">
        <v>194</v>
      </c>
      <c r="B40" s="10" t="s">
        <v>13</v>
      </c>
      <c r="C40" s="10">
        <v>6005</v>
      </c>
      <c r="D40" s="49" t="s">
        <v>30</v>
      </c>
      <c r="E40" s="10" t="s">
        <v>138</v>
      </c>
      <c r="F40" s="17">
        <v>11</v>
      </c>
      <c r="G40" s="22">
        <v>76.95</v>
      </c>
      <c r="H40" s="11">
        <f t="shared" si="4"/>
        <v>95.06</v>
      </c>
      <c r="I40" s="113">
        <f t="shared" si="5"/>
        <v>1045.6600000000001</v>
      </c>
      <c r="J40" s="120" t="s">
        <v>159</v>
      </c>
      <c r="K40" s="50"/>
    </row>
    <row r="41" spans="1:11" ht="31.5" x14ac:dyDescent="0.25">
      <c r="A41" s="47" t="s">
        <v>195</v>
      </c>
      <c r="B41" s="10" t="s">
        <v>13</v>
      </c>
      <c r="C41" s="10">
        <v>6013</v>
      </c>
      <c r="D41" s="49" t="s">
        <v>31</v>
      </c>
      <c r="E41" s="10" t="s">
        <v>138</v>
      </c>
      <c r="F41" s="17">
        <v>1</v>
      </c>
      <c r="G41" s="22">
        <v>94.2</v>
      </c>
      <c r="H41" s="11">
        <f t="shared" si="4"/>
        <v>116.37</v>
      </c>
      <c r="I41" s="113">
        <f t="shared" si="5"/>
        <v>116.37</v>
      </c>
      <c r="J41" s="120" t="s">
        <v>159</v>
      </c>
      <c r="K41" s="50"/>
    </row>
    <row r="42" spans="1:11" ht="31.5" x14ac:dyDescent="0.25">
      <c r="A42" s="47" t="s">
        <v>196</v>
      </c>
      <c r="B42" s="48" t="s">
        <v>0</v>
      </c>
      <c r="C42" s="10">
        <v>86906</v>
      </c>
      <c r="D42" s="49" t="s">
        <v>32</v>
      </c>
      <c r="E42" s="10" t="s">
        <v>138</v>
      </c>
      <c r="F42" s="17">
        <v>11</v>
      </c>
      <c r="G42" s="22">
        <v>63.97</v>
      </c>
      <c r="H42" s="11">
        <f t="shared" si="4"/>
        <v>79.03</v>
      </c>
      <c r="I42" s="113">
        <f t="shared" si="5"/>
        <v>869.33</v>
      </c>
      <c r="J42" s="120" t="s">
        <v>159</v>
      </c>
      <c r="K42" s="50"/>
    </row>
    <row r="43" spans="1:11" ht="47.25" x14ac:dyDescent="0.25">
      <c r="A43" s="47" t="s">
        <v>197</v>
      </c>
      <c r="B43" s="48" t="s">
        <v>0</v>
      </c>
      <c r="C43" s="10">
        <v>86911</v>
      </c>
      <c r="D43" s="49" t="s">
        <v>131</v>
      </c>
      <c r="E43" s="10" t="s">
        <v>138</v>
      </c>
      <c r="F43" s="17">
        <v>2</v>
      </c>
      <c r="G43" s="22">
        <v>74.930000000000007</v>
      </c>
      <c r="H43" s="11">
        <f t="shared" si="4"/>
        <v>92.57</v>
      </c>
      <c r="I43" s="113">
        <f t="shared" si="5"/>
        <v>185.14</v>
      </c>
      <c r="J43" s="120" t="s">
        <v>159</v>
      </c>
      <c r="K43" s="50"/>
    </row>
    <row r="44" spans="1:11" ht="31.5" x14ac:dyDescent="0.25">
      <c r="A44" s="47" t="s">
        <v>198</v>
      </c>
      <c r="B44" s="48" t="s">
        <v>0</v>
      </c>
      <c r="C44" s="10">
        <v>86913</v>
      </c>
      <c r="D44" s="49" t="s">
        <v>33</v>
      </c>
      <c r="E44" s="10" t="s">
        <v>138</v>
      </c>
      <c r="F44" s="17">
        <v>1</v>
      </c>
      <c r="G44" s="22">
        <v>48.33</v>
      </c>
      <c r="H44" s="11">
        <f t="shared" si="4"/>
        <v>59.71</v>
      </c>
      <c r="I44" s="113">
        <f t="shared" si="5"/>
        <v>59.71</v>
      </c>
      <c r="J44" s="120" t="s">
        <v>159</v>
      </c>
      <c r="K44" s="50"/>
    </row>
    <row r="45" spans="1:11" ht="45.75" customHeight="1" x14ac:dyDescent="0.25">
      <c r="A45" s="47" t="s">
        <v>199</v>
      </c>
      <c r="B45" s="48" t="s">
        <v>0</v>
      </c>
      <c r="C45" s="10">
        <v>89712</v>
      </c>
      <c r="D45" s="49" t="s">
        <v>206</v>
      </c>
      <c r="E45" s="10" t="s">
        <v>137</v>
      </c>
      <c r="F45" s="17">
        <v>24.4</v>
      </c>
      <c r="G45" s="22">
        <v>33.270000000000003</v>
      </c>
      <c r="H45" s="11">
        <f t="shared" si="4"/>
        <v>41.1</v>
      </c>
      <c r="I45" s="113">
        <f t="shared" si="5"/>
        <v>1002.84</v>
      </c>
      <c r="J45" s="110" t="s">
        <v>160</v>
      </c>
      <c r="K45" s="54"/>
    </row>
    <row r="46" spans="1:11" ht="47.25" x14ac:dyDescent="0.25">
      <c r="A46" s="47" t="s">
        <v>200</v>
      </c>
      <c r="B46" s="57" t="s">
        <v>0</v>
      </c>
      <c r="C46" s="15">
        <v>89714</v>
      </c>
      <c r="D46" s="58" t="s">
        <v>207</v>
      </c>
      <c r="E46" s="15" t="s">
        <v>137</v>
      </c>
      <c r="F46" s="19">
        <v>52</v>
      </c>
      <c r="G46" s="24">
        <v>46.33</v>
      </c>
      <c r="H46" s="11">
        <f t="shared" si="4"/>
        <v>57.24</v>
      </c>
      <c r="I46" s="113">
        <f t="shared" si="5"/>
        <v>2976.48</v>
      </c>
      <c r="J46" s="110" t="s">
        <v>160</v>
      </c>
      <c r="K46" s="54"/>
    </row>
    <row r="47" spans="1:11" ht="47.25" x14ac:dyDescent="0.25">
      <c r="A47" s="47" t="s">
        <v>354</v>
      </c>
      <c r="B47" s="48" t="s">
        <v>0</v>
      </c>
      <c r="C47" s="10">
        <v>97902</v>
      </c>
      <c r="D47" s="49" t="s">
        <v>34</v>
      </c>
      <c r="E47" s="10" t="s">
        <v>138</v>
      </c>
      <c r="F47" s="17">
        <v>3</v>
      </c>
      <c r="G47" s="22">
        <v>609.22</v>
      </c>
      <c r="H47" s="11">
        <f t="shared" si="4"/>
        <v>752.63</v>
      </c>
      <c r="I47" s="113">
        <f t="shared" si="5"/>
        <v>2257.89</v>
      </c>
      <c r="J47" s="120" t="s">
        <v>160</v>
      </c>
      <c r="K47" s="50"/>
    </row>
    <row r="48" spans="1:11" ht="63" x14ac:dyDescent="0.25">
      <c r="A48" s="47" t="s">
        <v>355</v>
      </c>
      <c r="B48" s="48" t="s">
        <v>0</v>
      </c>
      <c r="C48" s="10">
        <v>95470</v>
      </c>
      <c r="D48" s="49" t="s">
        <v>35</v>
      </c>
      <c r="E48" s="10" t="s">
        <v>138</v>
      </c>
      <c r="F48" s="17">
        <v>7</v>
      </c>
      <c r="G48" s="22">
        <v>301.41000000000003</v>
      </c>
      <c r="H48" s="11">
        <f t="shared" si="4"/>
        <v>372.36</v>
      </c>
      <c r="I48" s="113">
        <f t="shared" si="5"/>
        <v>2606.52</v>
      </c>
      <c r="J48" s="120" t="s">
        <v>159</v>
      </c>
      <c r="K48" s="50"/>
    </row>
    <row r="49" spans="1:11" ht="47.25" x14ac:dyDescent="0.25">
      <c r="A49" s="47" t="s">
        <v>356</v>
      </c>
      <c r="B49" s="48" t="s">
        <v>0</v>
      </c>
      <c r="C49" s="10">
        <v>99635</v>
      </c>
      <c r="D49" s="49" t="s">
        <v>36</v>
      </c>
      <c r="E49" s="10" t="s">
        <v>138</v>
      </c>
      <c r="F49" s="17">
        <v>7</v>
      </c>
      <c r="G49" s="22">
        <v>459.8</v>
      </c>
      <c r="H49" s="11">
        <f t="shared" si="4"/>
        <v>568.04</v>
      </c>
      <c r="I49" s="113">
        <f t="shared" si="5"/>
        <v>3976.2799999999997</v>
      </c>
      <c r="J49" s="120" t="s">
        <v>159</v>
      </c>
      <c r="K49" s="50"/>
    </row>
    <row r="50" spans="1:11" ht="47.25" x14ac:dyDescent="0.25">
      <c r="A50" s="47" t="s">
        <v>357</v>
      </c>
      <c r="B50" s="48" t="s">
        <v>0</v>
      </c>
      <c r="C50" s="10">
        <v>86935</v>
      </c>
      <c r="D50" s="49" t="s">
        <v>37</v>
      </c>
      <c r="E50" s="10" t="s">
        <v>138</v>
      </c>
      <c r="F50" s="17">
        <v>2</v>
      </c>
      <c r="G50" s="22">
        <v>279.79000000000002</v>
      </c>
      <c r="H50" s="11">
        <f t="shared" si="4"/>
        <v>345.65</v>
      </c>
      <c r="I50" s="113">
        <f t="shared" si="5"/>
        <v>691.3</v>
      </c>
      <c r="J50" s="120" t="s">
        <v>161</v>
      </c>
      <c r="K50" s="50"/>
    </row>
    <row r="51" spans="1:11" ht="47.25" x14ac:dyDescent="0.25">
      <c r="A51" s="47" t="s">
        <v>358</v>
      </c>
      <c r="B51" s="48" t="s">
        <v>0</v>
      </c>
      <c r="C51" s="10">
        <v>86903</v>
      </c>
      <c r="D51" s="49" t="s">
        <v>38</v>
      </c>
      <c r="E51" s="10" t="s">
        <v>138</v>
      </c>
      <c r="F51" s="17">
        <v>11</v>
      </c>
      <c r="G51" s="22">
        <v>356.1</v>
      </c>
      <c r="H51" s="11">
        <f t="shared" si="4"/>
        <v>439.93</v>
      </c>
      <c r="I51" s="113">
        <f t="shared" si="5"/>
        <v>4839.2300000000005</v>
      </c>
      <c r="J51" s="120" t="s">
        <v>159</v>
      </c>
      <c r="K51" s="50"/>
    </row>
    <row r="52" spans="1:11" ht="78.75" x14ac:dyDescent="0.25">
      <c r="A52" s="47" t="s">
        <v>359</v>
      </c>
      <c r="B52" s="48" t="s">
        <v>0</v>
      </c>
      <c r="C52" s="10">
        <v>86933</v>
      </c>
      <c r="D52" s="49" t="s">
        <v>132</v>
      </c>
      <c r="E52" s="10" t="s">
        <v>138</v>
      </c>
      <c r="F52" s="17">
        <v>2</v>
      </c>
      <c r="G52" s="22">
        <v>451.49</v>
      </c>
      <c r="H52" s="11">
        <f t="shared" si="4"/>
        <v>557.77</v>
      </c>
      <c r="I52" s="113">
        <f t="shared" si="5"/>
        <v>1115.54</v>
      </c>
      <c r="J52" s="120" t="s">
        <v>161</v>
      </c>
      <c r="K52" s="50"/>
    </row>
    <row r="53" spans="1:11" ht="31.5" x14ac:dyDescent="0.25">
      <c r="A53" s="47" t="s">
        <v>360</v>
      </c>
      <c r="B53" s="48" t="s">
        <v>0</v>
      </c>
      <c r="C53" s="10">
        <v>86872</v>
      </c>
      <c r="D53" s="49" t="s">
        <v>39</v>
      </c>
      <c r="E53" s="10" t="s">
        <v>138</v>
      </c>
      <c r="F53" s="17">
        <v>1</v>
      </c>
      <c r="G53" s="22">
        <v>708.19</v>
      </c>
      <c r="H53" s="11">
        <f t="shared" si="4"/>
        <v>874.9</v>
      </c>
      <c r="I53" s="113">
        <f t="shared" si="5"/>
        <v>874.9</v>
      </c>
      <c r="J53" s="120" t="s">
        <v>159</v>
      </c>
      <c r="K53" s="50"/>
    </row>
    <row r="54" spans="1:11" ht="63" x14ac:dyDescent="0.25">
      <c r="A54" s="47" t="s">
        <v>361</v>
      </c>
      <c r="B54" s="48" t="s">
        <v>0</v>
      </c>
      <c r="C54" s="10">
        <v>95644</v>
      </c>
      <c r="D54" s="49" t="s">
        <v>40</v>
      </c>
      <c r="E54" s="10" t="s">
        <v>138</v>
      </c>
      <c r="F54" s="17">
        <v>1</v>
      </c>
      <c r="G54" s="22">
        <v>239</v>
      </c>
      <c r="H54" s="11">
        <f t="shared" si="4"/>
        <v>295.26</v>
      </c>
      <c r="I54" s="113">
        <f t="shared" si="5"/>
        <v>295.26</v>
      </c>
      <c r="J54" s="120" t="s">
        <v>158</v>
      </c>
      <c r="K54" s="50"/>
    </row>
    <row r="55" spans="1:11" ht="15.75" x14ac:dyDescent="0.25">
      <c r="A55" s="44" t="s">
        <v>362</v>
      </c>
      <c r="B55" s="45"/>
      <c r="C55" s="45"/>
      <c r="D55" s="46" t="s">
        <v>41</v>
      </c>
      <c r="E55" s="12"/>
      <c r="F55" s="18"/>
      <c r="G55" s="23"/>
      <c r="H55" s="13"/>
      <c r="I55" s="112">
        <f>SUM(I56:I86)</f>
        <v>41089.670000000006</v>
      </c>
      <c r="J55" s="14"/>
      <c r="K55" s="52"/>
    </row>
    <row r="56" spans="1:11" ht="47.25" x14ac:dyDescent="0.25">
      <c r="A56" s="47" t="s">
        <v>108</v>
      </c>
      <c r="B56" s="48" t="s">
        <v>0</v>
      </c>
      <c r="C56" s="10">
        <v>91924</v>
      </c>
      <c r="D56" s="49" t="s">
        <v>42</v>
      </c>
      <c r="E56" s="10" t="s">
        <v>137</v>
      </c>
      <c r="F56" s="17">
        <v>300</v>
      </c>
      <c r="G56" s="22">
        <v>3.08</v>
      </c>
      <c r="H56" s="11">
        <f t="shared" ref="H56:H86" si="6">ROUND(G56*(1+$B$7),2)</f>
        <v>3.81</v>
      </c>
      <c r="I56" s="113">
        <f t="shared" ref="I56:I86" si="7">H56*F56</f>
        <v>1143</v>
      </c>
      <c r="J56" s="120" t="s">
        <v>162</v>
      </c>
      <c r="K56" s="104"/>
    </row>
    <row r="57" spans="1:11" ht="47.25" x14ac:dyDescent="0.25">
      <c r="A57" s="47" t="s">
        <v>109</v>
      </c>
      <c r="B57" s="48" t="s">
        <v>0</v>
      </c>
      <c r="C57" s="10">
        <v>91926</v>
      </c>
      <c r="D57" s="49" t="s">
        <v>43</v>
      </c>
      <c r="E57" s="10" t="s">
        <v>137</v>
      </c>
      <c r="F57" s="17">
        <v>600</v>
      </c>
      <c r="G57" s="22">
        <v>4.3099999999999996</v>
      </c>
      <c r="H57" s="11">
        <f t="shared" si="6"/>
        <v>5.32</v>
      </c>
      <c r="I57" s="113">
        <f t="shared" si="7"/>
        <v>3192</v>
      </c>
      <c r="J57" s="120" t="s">
        <v>162</v>
      </c>
      <c r="K57" s="104"/>
    </row>
    <row r="58" spans="1:11" ht="63" x14ac:dyDescent="0.25">
      <c r="A58" s="47" t="s">
        <v>110</v>
      </c>
      <c r="B58" s="48" t="s">
        <v>0</v>
      </c>
      <c r="C58" s="10">
        <v>92988</v>
      </c>
      <c r="D58" s="49" t="s">
        <v>208</v>
      </c>
      <c r="E58" s="10" t="s">
        <v>137</v>
      </c>
      <c r="F58" s="17">
        <v>150</v>
      </c>
      <c r="G58" s="22">
        <v>45.81</v>
      </c>
      <c r="H58" s="11">
        <f t="shared" si="6"/>
        <v>56.59</v>
      </c>
      <c r="I58" s="113">
        <f t="shared" si="7"/>
        <v>8488.5</v>
      </c>
      <c r="J58" s="110" t="s">
        <v>162</v>
      </c>
      <c r="K58" s="105"/>
    </row>
    <row r="59" spans="1:11" ht="31.5" x14ac:dyDescent="0.25">
      <c r="A59" s="47" t="s">
        <v>363</v>
      </c>
      <c r="B59" s="48" t="s">
        <v>0</v>
      </c>
      <c r="C59" s="10">
        <v>92001</v>
      </c>
      <c r="D59" s="49" t="s">
        <v>45</v>
      </c>
      <c r="E59" s="10" t="s">
        <v>138</v>
      </c>
      <c r="F59" s="17">
        <v>73</v>
      </c>
      <c r="G59" s="22">
        <v>42.16</v>
      </c>
      <c r="H59" s="11">
        <f t="shared" si="6"/>
        <v>52.08</v>
      </c>
      <c r="I59" s="113">
        <f t="shared" si="7"/>
        <v>3801.8399999999997</v>
      </c>
      <c r="J59" s="120" t="s">
        <v>164</v>
      </c>
      <c r="K59" s="104"/>
    </row>
    <row r="60" spans="1:11" ht="31.5" x14ac:dyDescent="0.25">
      <c r="A60" s="47" t="s">
        <v>364</v>
      </c>
      <c r="B60" s="48" t="s">
        <v>0</v>
      </c>
      <c r="C60" s="10">
        <v>91993</v>
      </c>
      <c r="D60" s="49" t="s">
        <v>46</v>
      </c>
      <c r="E60" s="10" t="s">
        <v>138</v>
      </c>
      <c r="F60" s="17">
        <v>2</v>
      </c>
      <c r="G60" s="22">
        <v>61.6</v>
      </c>
      <c r="H60" s="11">
        <f t="shared" si="6"/>
        <v>76.099999999999994</v>
      </c>
      <c r="I60" s="113">
        <f t="shared" si="7"/>
        <v>152.19999999999999</v>
      </c>
      <c r="J60" s="120" t="s">
        <v>164</v>
      </c>
      <c r="K60" s="104"/>
    </row>
    <row r="61" spans="1:11" ht="47.25" x14ac:dyDescent="0.25">
      <c r="A61" s="47" t="s">
        <v>365</v>
      </c>
      <c r="B61" s="48" t="s">
        <v>0</v>
      </c>
      <c r="C61" s="10">
        <v>91996</v>
      </c>
      <c r="D61" s="49" t="s">
        <v>47</v>
      </c>
      <c r="E61" s="10" t="s">
        <v>138</v>
      </c>
      <c r="F61" s="17">
        <v>11</v>
      </c>
      <c r="G61" s="22">
        <v>45.24</v>
      </c>
      <c r="H61" s="11">
        <f t="shared" si="6"/>
        <v>55.89</v>
      </c>
      <c r="I61" s="113">
        <f t="shared" si="7"/>
        <v>614.79</v>
      </c>
      <c r="J61" s="120" t="s">
        <v>164</v>
      </c>
      <c r="K61" s="104"/>
    </row>
    <row r="62" spans="1:11" ht="47.25" x14ac:dyDescent="0.25">
      <c r="A62" s="47" t="s">
        <v>366</v>
      </c>
      <c r="B62" s="48" t="s">
        <v>0</v>
      </c>
      <c r="C62" s="10">
        <v>91991</v>
      </c>
      <c r="D62" s="49" t="s">
        <v>48</v>
      </c>
      <c r="E62" s="10" t="s">
        <v>138</v>
      </c>
      <c r="F62" s="17">
        <v>10</v>
      </c>
      <c r="G62" s="22">
        <v>47.63</v>
      </c>
      <c r="H62" s="11">
        <f t="shared" si="6"/>
        <v>58.84</v>
      </c>
      <c r="I62" s="113">
        <f t="shared" si="7"/>
        <v>588.40000000000009</v>
      </c>
      <c r="J62" s="120" t="s">
        <v>164</v>
      </c>
      <c r="K62" s="50"/>
    </row>
    <row r="63" spans="1:11" ht="31.5" x14ac:dyDescent="0.25">
      <c r="A63" s="47" t="s">
        <v>367</v>
      </c>
      <c r="B63" s="48" t="s">
        <v>0</v>
      </c>
      <c r="C63" s="10">
        <v>91936</v>
      </c>
      <c r="D63" s="49" t="s">
        <v>49</v>
      </c>
      <c r="E63" s="10" t="s">
        <v>138</v>
      </c>
      <c r="F63" s="17">
        <v>35</v>
      </c>
      <c r="G63" s="22">
        <v>21.95</v>
      </c>
      <c r="H63" s="11">
        <f t="shared" si="6"/>
        <v>27.12</v>
      </c>
      <c r="I63" s="113">
        <f t="shared" si="7"/>
        <v>949.2</v>
      </c>
      <c r="J63" s="120" t="s">
        <v>163</v>
      </c>
      <c r="K63" s="50"/>
    </row>
    <row r="64" spans="1:11" ht="31.5" customHeight="1" x14ac:dyDescent="0.25">
      <c r="A64" s="47" t="s">
        <v>368</v>
      </c>
      <c r="B64" s="48" t="s">
        <v>0</v>
      </c>
      <c r="C64" s="10">
        <v>91930</v>
      </c>
      <c r="D64" s="49" t="s">
        <v>50</v>
      </c>
      <c r="E64" s="10" t="s">
        <v>137</v>
      </c>
      <c r="F64" s="17">
        <v>60</v>
      </c>
      <c r="G64" s="22">
        <v>8.91</v>
      </c>
      <c r="H64" s="11">
        <f t="shared" si="6"/>
        <v>11.01</v>
      </c>
      <c r="I64" s="113">
        <f t="shared" si="7"/>
        <v>660.6</v>
      </c>
      <c r="J64" s="120" t="s">
        <v>162</v>
      </c>
      <c r="K64" s="50"/>
    </row>
    <row r="65" spans="1:11" ht="31.5" x14ac:dyDescent="0.25">
      <c r="A65" s="47" t="s">
        <v>369</v>
      </c>
      <c r="B65" s="10" t="s">
        <v>0</v>
      </c>
      <c r="C65" s="10">
        <v>101938</v>
      </c>
      <c r="D65" s="56" t="s">
        <v>213</v>
      </c>
      <c r="E65" s="10" t="s">
        <v>138</v>
      </c>
      <c r="F65" s="17">
        <v>1</v>
      </c>
      <c r="G65" s="22">
        <v>109</v>
      </c>
      <c r="H65" s="11">
        <f t="shared" si="6"/>
        <v>134.66</v>
      </c>
      <c r="I65" s="113">
        <f t="shared" si="7"/>
        <v>134.66</v>
      </c>
      <c r="J65" s="110" t="s">
        <v>163</v>
      </c>
      <c r="K65" s="54"/>
    </row>
    <row r="66" spans="1:11" ht="31.5" x14ac:dyDescent="0.25">
      <c r="A66" s="47" t="s">
        <v>370</v>
      </c>
      <c r="B66" s="48" t="s">
        <v>0</v>
      </c>
      <c r="C66" s="10">
        <v>91993</v>
      </c>
      <c r="D66" s="49" t="s">
        <v>46</v>
      </c>
      <c r="E66" s="10" t="s">
        <v>138</v>
      </c>
      <c r="F66" s="17">
        <v>10</v>
      </c>
      <c r="G66" s="22">
        <v>61.6</v>
      </c>
      <c r="H66" s="11">
        <f t="shared" si="6"/>
        <v>76.099999999999994</v>
      </c>
      <c r="I66" s="113">
        <f t="shared" si="7"/>
        <v>761</v>
      </c>
      <c r="J66" s="120" t="s">
        <v>164</v>
      </c>
      <c r="K66" s="50"/>
    </row>
    <row r="67" spans="1:11" ht="31.5" x14ac:dyDescent="0.25">
      <c r="A67" s="47" t="s">
        <v>371</v>
      </c>
      <c r="B67" s="48" t="s">
        <v>0</v>
      </c>
      <c r="C67" s="10">
        <v>98308</v>
      </c>
      <c r="D67" s="49" t="s">
        <v>51</v>
      </c>
      <c r="E67" s="10" t="s">
        <v>138</v>
      </c>
      <c r="F67" s="17">
        <v>10</v>
      </c>
      <c r="G67" s="22">
        <v>36.6</v>
      </c>
      <c r="H67" s="11">
        <f t="shared" si="6"/>
        <v>45.22</v>
      </c>
      <c r="I67" s="113">
        <f t="shared" si="7"/>
        <v>452.2</v>
      </c>
      <c r="J67" s="120" t="s">
        <v>164</v>
      </c>
      <c r="K67" s="50"/>
    </row>
    <row r="68" spans="1:11" ht="29.25" customHeight="1" x14ac:dyDescent="0.25">
      <c r="A68" s="47" t="s">
        <v>372</v>
      </c>
      <c r="B68" s="48" t="s">
        <v>0</v>
      </c>
      <c r="C68" s="10">
        <v>91928</v>
      </c>
      <c r="D68" s="49" t="s">
        <v>52</v>
      </c>
      <c r="E68" s="10" t="s">
        <v>137</v>
      </c>
      <c r="F68" s="17">
        <v>55</v>
      </c>
      <c r="G68" s="22">
        <v>6.47</v>
      </c>
      <c r="H68" s="11">
        <f t="shared" si="6"/>
        <v>7.99</v>
      </c>
      <c r="I68" s="113">
        <f t="shared" si="7"/>
        <v>439.45</v>
      </c>
      <c r="J68" s="120" t="s">
        <v>162</v>
      </c>
      <c r="K68" s="50"/>
    </row>
    <row r="69" spans="1:11" ht="63" x14ac:dyDescent="0.25">
      <c r="A69" s="47" t="s">
        <v>373</v>
      </c>
      <c r="B69" s="10" t="s">
        <v>0</v>
      </c>
      <c r="C69" s="10">
        <v>101881</v>
      </c>
      <c r="D69" s="56" t="s">
        <v>214</v>
      </c>
      <c r="E69" s="10" t="s">
        <v>138</v>
      </c>
      <c r="F69" s="17">
        <v>1</v>
      </c>
      <c r="G69" s="22">
        <v>902.44</v>
      </c>
      <c r="H69" s="11">
        <f t="shared" si="6"/>
        <v>1114.8699999999999</v>
      </c>
      <c r="I69" s="113">
        <f t="shared" si="7"/>
        <v>1114.8699999999999</v>
      </c>
      <c r="J69" s="110" t="s">
        <v>165</v>
      </c>
      <c r="K69" s="54"/>
    </row>
    <row r="70" spans="1:11" ht="31.5" x14ac:dyDescent="0.25">
      <c r="A70" s="47" t="s">
        <v>374</v>
      </c>
      <c r="B70" s="48" t="s">
        <v>0</v>
      </c>
      <c r="C70" s="10">
        <v>93662</v>
      </c>
      <c r="D70" s="49" t="s">
        <v>53</v>
      </c>
      <c r="E70" s="10" t="s">
        <v>138</v>
      </c>
      <c r="F70" s="17">
        <v>24</v>
      </c>
      <c r="G70" s="22">
        <v>55.93</v>
      </c>
      <c r="H70" s="11">
        <f t="shared" si="6"/>
        <v>69.099999999999994</v>
      </c>
      <c r="I70" s="113">
        <f t="shared" si="7"/>
        <v>1658.3999999999999</v>
      </c>
      <c r="J70" s="120" t="s">
        <v>165</v>
      </c>
      <c r="K70" s="50"/>
    </row>
    <row r="71" spans="1:11" ht="31.5" x14ac:dyDescent="0.25">
      <c r="A71" s="47" t="s">
        <v>375</v>
      </c>
      <c r="B71" s="48" t="s">
        <v>0</v>
      </c>
      <c r="C71" s="10">
        <v>91953</v>
      </c>
      <c r="D71" s="49" t="s">
        <v>54</v>
      </c>
      <c r="E71" s="10" t="s">
        <v>138</v>
      </c>
      <c r="F71" s="17">
        <v>27</v>
      </c>
      <c r="G71" s="22">
        <v>38.08</v>
      </c>
      <c r="H71" s="11">
        <f t="shared" si="6"/>
        <v>47.04</v>
      </c>
      <c r="I71" s="113">
        <f t="shared" si="7"/>
        <v>1270.08</v>
      </c>
      <c r="J71" s="120" t="s">
        <v>164</v>
      </c>
      <c r="K71" s="50"/>
    </row>
    <row r="72" spans="1:11" ht="47.25" x14ac:dyDescent="0.25">
      <c r="A72" s="47" t="s">
        <v>376</v>
      </c>
      <c r="B72" s="48" t="s">
        <v>0</v>
      </c>
      <c r="C72" s="10">
        <v>91854</v>
      </c>
      <c r="D72" s="49" t="s">
        <v>55</v>
      </c>
      <c r="E72" s="10" t="s">
        <v>137</v>
      </c>
      <c r="F72" s="17">
        <v>135</v>
      </c>
      <c r="G72" s="22">
        <v>12.01</v>
      </c>
      <c r="H72" s="11">
        <f t="shared" si="6"/>
        <v>14.84</v>
      </c>
      <c r="I72" s="113">
        <f t="shared" si="7"/>
        <v>2003.4</v>
      </c>
      <c r="J72" s="120" t="s">
        <v>162</v>
      </c>
      <c r="K72" s="50"/>
    </row>
    <row r="73" spans="1:11" ht="47.25" x14ac:dyDescent="0.25">
      <c r="A73" s="47" t="s">
        <v>377</v>
      </c>
      <c r="B73" s="48" t="s">
        <v>0</v>
      </c>
      <c r="C73" s="10">
        <v>91856</v>
      </c>
      <c r="D73" s="49" t="s">
        <v>56</v>
      </c>
      <c r="E73" s="10" t="s">
        <v>137</v>
      </c>
      <c r="F73" s="17">
        <v>50</v>
      </c>
      <c r="G73" s="22">
        <v>14.76</v>
      </c>
      <c r="H73" s="11">
        <f t="shared" si="6"/>
        <v>18.23</v>
      </c>
      <c r="I73" s="113">
        <f t="shared" si="7"/>
        <v>911.5</v>
      </c>
      <c r="J73" s="120" t="s">
        <v>162</v>
      </c>
      <c r="K73" s="50"/>
    </row>
    <row r="74" spans="1:11" ht="31.5" x14ac:dyDescent="0.25">
      <c r="A74" s="47" t="s">
        <v>378</v>
      </c>
      <c r="B74" s="48" t="s">
        <v>0</v>
      </c>
      <c r="C74" s="10">
        <v>91845</v>
      </c>
      <c r="D74" s="49" t="s">
        <v>57</v>
      </c>
      <c r="E74" s="10" t="s">
        <v>137</v>
      </c>
      <c r="F74" s="17">
        <v>160</v>
      </c>
      <c r="G74" s="22">
        <v>9.0299999999999994</v>
      </c>
      <c r="H74" s="11">
        <f t="shared" si="6"/>
        <v>11.16</v>
      </c>
      <c r="I74" s="113">
        <f t="shared" si="7"/>
        <v>1785.6</v>
      </c>
      <c r="J74" s="120" t="s">
        <v>162</v>
      </c>
      <c r="K74" s="50"/>
    </row>
    <row r="75" spans="1:11" ht="26.25" customHeight="1" x14ac:dyDescent="0.25">
      <c r="A75" s="47" t="s">
        <v>379</v>
      </c>
      <c r="B75" s="48" t="s">
        <v>0</v>
      </c>
      <c r="C75" s="10">
        <v>91857</v>
      </c>
      <c r="D75" s="49" t="s">
        <v>58</v>
      </c>
      <c r="E75" s="10" t="s">
        <v>137</v>
      </c>
      <c r="F75" s="17">
        <v>15</v>
      </c>
      <c r="G75" s="22">
        <v>17.64</v>
      </c>
      <c r="H75" s="11">
        <f t="shared" si="6"/>
        <v>21.79</v>
      </c>
      <c r="I75" s="113">
        <f t="shared" si="7"/>
        <v>326.84999999999997</v>
      </c>
      <c r="J75" s="120" t="s">
        <v>162</v>
      </c>
      <c r="K75" s="50"/>
    </row>
    <row r="76" spans="1:11" ht="31.5" x14ac:dyDescent="0.25">
      <c r="A76" s="47" t="s">
        <v>380</v>
      </c>
      <c r="B76" s="48" t="s">
        <v>0</v>
      </c>
      <c r="C76" s="10">
        <v>91846</v>
      </c>
      <c r="D76" s="49" t="s">
        <v>59</v>
      </c>
      <c r="E76" s="10" t="s">
        <v>137</v>
      </c>
      <c r="F76" s="17">
        <v>100</v>
      </c>
      <c r="G76" s="22">
        <v>10.58</v>
      </c>
      <c r="H76" s="11">
        <f t="shared" si="6"/>
        <v>13.07</v>
      </c>
      <c r="I76" s="113">
        <f t="shared" si="7"/>
        <v>1307</v>
      </c>
      <c r="J76" s="120" t="s">
        <v>162</v>
      </c>
      <c r="K76" s="50"/>
    </row>
    <row r="77" spans="1:11" ht="27.75" customHeight="1" x14ac:dyDescent="0.25">
      <c r="A77" s="47" t="s">
        <v>381</v>
      </c>
      <c r="B77" s="48" t="s">
        <v>0</v>
      </c>
      <c r="C77" s="10">
        <v>97667</v>
      </c>
      <c r="D77" s="49" t="s">
        <v>60</v>
      </c>
      <c r="E77" s="10" t="s">
        <v>137</v>
      </c>
      <c r="F77" s="17">
        <v>110</v>
      </c>
      <c r="G77" s="22">
        <v>10.35</v>
      </c>
      <c r="H77" s="11">
        <f t="shared" si="6"/>
        <v>12.79</v>
      </c>
      <c r="I77" s="113">
        <f t="shared" si="7"/>
        <v>1406.8999999999999</v>
      </c>
      <c r="J77" s="120" t="s">
        <v>162</v>
      </c>
      <c r="K77" s="50"/>
    </row>
    <row r="78" spans="1:11" ht="27.75" customHeight="1" x14ac:dyDescent="0.25">
      <c r="A78" s="47" t="s">
        <v>382</v>
      </c>
      <c r="B78" s="48" t="s">
        <v>0</v>
      </c>
      <c r="C78" s="10">
        <v>93656</v>
      </c>
      <c r="D78" s="49" t="s">
        <v>61</v>
      </c>
      <c r="E78" s="10" t="s">
        <v>138</v>
      </c>
      <c r="F78" s="17">
        <v>1</v>
      </c>
      <c r="G78" s="22">
        <v>13.7</v>
      </c>
      <c r="H78" s="11">
        <f t="shared" si="6"/>
        <v>16.920000000000002</v>
      </c>
      <c r="I78" s="113">
        <f t="shared" si="7"/>
        <v>16.920000000000002</v>
      </c>
      <c r="J78" s="120" t="s">
        <v>165</v>
      </c>
      <c r="K78" s="50"/>
    </row>
    <row r="79" spans="1:11" ht="32.25" customHeight="1" x14ac:dyDescent="0.25">
      <c r="A79" s="47" t="s">
        <v>383</v>
      </c>
      <c r="B79" s="48" t="s">
        <v>0</v>
      </c>
      <c r="C79" s="10">
        <v>93655</v>
      </c>
      <c r="D79" s="49" t="s">
        <v>62</v>
      </c>
      <c r="E79" s="10" t="s">
        <v>138</v>
      </c>
      <c r="F79" s="17">
        <v>2</v>
      </c>
      <c r="G79" s="22">
        <v>13.7</v>
      </c>
      <c r="H79" s="11">
        <f t="shared" si="6"/>
        <v>16.920000000000002</v>
      </c>
      <c r="I79" s="113">
        <f t="shared" si="7"/>
        <v>33.840000000000003</v>
      </c>
      <c r="J79" s="120" t="s">
        <v>165</v>
      </c>
      <c r="K79" s="50"/>
    </row>
    <row r="80" spans="1:11" ht="27.75" customHeight="1" x14ac:dyDescent="0.25">
      <c r="A80" s="47" t="s">
        <v>384</v>
      </c>
      <c r="B80" s="48" t="s">
        <v>0</v>
      </c>
      <c r="C80" s="10">
        <v>93653</v>
      </c>
      <c r="D80" s="49" t="s">
        <v>63</v>
      </c>
      <c r="E80" s="10" t="s">
        <v>138</v>
      </c>
      <c r="F80" s="17">
        <v>4</v>
      </c>
      <c r="G80" s="22">
        <v>11.15</v>
      </c>
      <c r="H80" s="11">
        <f t="shared" si="6"/>
        <v>13.77</v>
      </c>
      <c r="I80" s="113">
        <f t="shared" si="7"/>
        <v>55.08</v>
      </c>
      <c r="J80" s="120" t="s">
        <v>165</v>
      </c>
      <c r="K80" s="50"/>
    </row>
    <row r="81" spans="1:11" ht="27.75" customHeight="1" x14ac:dyDescent="0.25">
      <c r="A81" s="47" t="s">
        <v>385</v>
      </c>
      <c r="B81" s="48" t="s">
        <v>0</v>
      </c>
      <c r="C81" s="10">
        <v>93657</v>
      </c>
      <c r="D81" s="49" t="s">
        <v>64</v>
      </c>
      <c r="E81" s="10" t="s">
        <v>138</v>
      </c>
      <c r="F81" s="17">
        <v>2</v>
      </c>
      <c r="G81" s="22">
        <v>15.74</v>
      </c>
      <c r="H81" s="11">
        <f t="shared" si="6"/>
        <v>19.45</v>
      </c>
      <c r="I81" s="113">
        <f t="shared" si="7"/>
        <v>38.9</v>
      </c>
      <c r="J81" s="120" t="s">
        <v>165</v>
      </c>
      <c r="K81" s="50"/>
    </row>
    <row r="82" spans="1:11" ht="27.75" customHeight="1" x14ac:dyDescent="0.25">
      <c r="A82" s="47" t="s">
        <v>386</v>
      </c>
      <c r="B82" s="48" t="s">
        <v>0</v>
      </c>
      <c r="C82" s="10">
        <v>93654</v>
      </c>
      <c r="D82" s="49" t="s">
        <v>65</v>
      </c>
      <c r="E82" s="10" t="s">
        <v>138</v>
      </c>
      <c r="F82" s="17">
        <v>9</v>
      </c>
      <c r="G82" s="22">
        <v>12.05</v>
      </c>
      <c r="H82" s="11">
        <f t="shared" si="6"/>
        <v>14.89</v>
      </c>
      <c r="I82" s="113">
        <f t="shared" si="7"/>
        <v>134.01</v>
      </c>
      <c r="J82" s="120" t="s">
        <v>165</v>
      </c>
      <c r="K82" s="50"/>
    </row>
    <row r="83" spans="1:11" ht="27.75" customHeight="1" x14ac:dyDescent="0.25">
      <c r="A83" s="47" t="s">
        <v>387</v>
      </c>
      <c r="B83" s="48" t="s">
        <v>0</v>
      </c>
      <c r="C83" s="10">
        <v>93665</v>
      </c>
      <c r="D83" s="49" t="s">
        <v>66</v>
      </c>
      <c r="E83" s="10" t="s">
        <v>138</v>
      </c>
      <c r="F83" s="17">
        <v>1</v>
      </c>
      <c r="G83" s="22">
        <v>65.97</v>
      </c>
      <c r="H83" s="11">
        <f t="shared" si="6"/>
        <v>81.5</v>
      </c>
      <c r="I83" s="113">
        <f t="shared" si="7"/>
        <v>81.5</v>
      </c>
      <c r="J83" s="120" t="s">
        <v>165</v>
      </c>
      <c r="K83" s="50"/>
    </row>
    <row r="84" spans="1:11" ht="27.75" customHeight="1" x14ac:dyDescent="0.25">
      <c r="A84" s="47" t="s">
        <v>388</v>
      </c>
      <c r="B84" s="48" t="s">
        <v>0</v>
      </c>
      <c r="C84" s="10">
        <v>93661</v>
      </c>
      <c r="D84" s="49" t="s">
        <v>67</v>
      </c>
      <c r="E84" s="10" t="s">
        <v>138</v>
      </c>
      <c r="F84" s="17">
        <v>2</v>
      </c>
      <c r="G84" s="22">
        <v>52.64</v>
      </c>
      <c r="H84" s="11">
        <f t="shared" si="6"/>
        <v>65.03</v>
      </c>
      <c r="I84" s="113">
        <f t="shared" si="7"/>
        <v>130.06</v>
      </c>
      <c r="J84" s="120" t="s">
        <v>165</v>
      </c>
      <c r="K84" s="50"/>
    </row>
    <row r="85" spans="1:11" ht="47.25" x14ac:dyDescent="0.25">
      <c r="A85" s="47" t="s">
        <v>389</v>
      </c>
      <c r="B85" s="48" t="s">
        <v>0</v>
      </c>
      <c r="C85" s="10">
        <v>97585</v>
      </c>
      <c r="D85" s="49" t="s">
        <v>68</v>
      </c>
      <c r="E85" s="10" t="s">
        <v>138</v>
      </c>
      <c r="F85" s="17">
        <v>44</v>
      </c>
      <c r="G85" s="22">
        <v>134.15</v>
      </c>
      <c r="H85" s="11">
        <f t="shared" si="6"/>
        <v>165.73</v>
      </c>
      <c r="I85" s="113">
        <f t="shared" si="7"/>
        <v>7292.12</v>
      </c>
      <c r="J85" s="120" t="s">
        <v>166</v>
      </c>
      <c r="K85" s="50"/>
    </row>
    <row r="86" spans="1:11" ht="47.25" x14ac:dyDescent="0.25">
      <c r="A86" s="47" t="s">
        <v>390</v>
      </c>
      <c r="B86" s="48" t="s">
        <v>0</v>
      </c>
      <c r="C86" s="10">
        <v>97590</v>
      </c>
      <c r="D86" s="49" t="s">
        <v>69</v>
      </c>
      <c r="E86" s="10" t="s">
        <v>138</v>
      </c>
      <c r="F86" s="17">
        <v>1</v>
      </c>
      <c r="G86" s="22">
        <v>117.21</v>
      </c>
      <c r="H86" s="11">
        <f t="shared" si="6"/>
        <v>144.80000000000001</v>
      </c>
      <c r="I86" s="113">
        <f t="shared" si="7"/>
        <v>144.80000000000001</v>
      </c>
      <c r="J86" s="120" t="s">
        <v>166</v>
      </c>
      <c r="K86" s="50"/>
    </row>
    <row r="87" spans="1:11" ht="15.75" x14ac:dyDescent="0.25">
      <c r="A87" s="44" t="s">
        <v>391</v>
      </c>
      <c r="B87" s="45"/>
      <c r="C87" s="45"/>
      <c r="D87" s="46" t="s">
        <v>70</v>
      </c>
      <c r="E87" s="12"/>
      <c r="F87" s="18"/>
      <c r="G87" s="23"/>
      <c r="H87" s="13"/>
      <c r="I87" s="112">
        <f>SUM(I88:I93)</f>
        <v>26122.14</v>
      </c>
      <c r="J87" s="14"/>
      <c r="K87" s="52"/>
    </row>
    <row r="88" spans="1:11" ht="35.25" customHeight="1" x14ac:dyDescent="0.25">
      <c r="A88" s="47" t="s">
        <v>112</v>
      </c>
      <c r="B88" s="10" t="s">
        <v>13</v>
      </c>
      <c r="C88" s="10">
        <v>34641</v>
      </c>
      <c r="D88" s="49" t="s">
        <v>71</v>
      </c>
      <c r="E88" s="10" t="s">
        <v>138</v>
      </c>
      <c r="F88" s="17">
        <v>8</v>
      </c>
      <c r="G88" s="22">
        <v>105.28</v>
      </c>
      <c r="H88" s="11">
        <f t="shared" ref="H88:H93" si="8">ROUND(G88*(1+$B$7),2)</f>
        <v>130.06</v>
      </c>
      <c r="I88" s="113">
        <f t="shared" ref="I88:I93" si="9">H88*F88</f>
        <v>1040.48</v>
      </c>
      <c r="J88" s="120" t="s">
        <v>167</v>
      </c>
      <c r="K88" s="50"/>
    </row>
    <row r="89" spans="1:11" ht="15.75" x14ac:dyDescent="0.25">
      <c r="A89" s="47" t="s">
        <v>113</v>
      </c>
      <c r="B89" s="10" t="s">
        <v>13</v>
      </c>
      <c r="C89" s="10">
        <v>11991</v>
      </c>
      <c r="D89" s="49" t="s">
        <v>72</v>
      </c>
      <c r="E89" s="10" t="s">
        <v>138</v>
      </c>
      <c r="F89" s="17">
        <v>10</v>
      </c>
      <c r="G89" s="25">
        <v>91.55</v>
      </c>
      <c r="H89" s="11">
        <f t="shared" si="8"/>
        <v>113.1</v>
      </c>
      <c r="I89" s="113">
        <f t="shared" si="9"/>
        <v>1131</v>
      </c>
      <c r="J89" s="120" t="s">
        <v>167</v>
      </c>
      <c r="K89" s="50"/>
    </row>
    <row r="90" spans="1:11" ht="15.75" x14ac:dyDescent="0.25">
      <c r="A90" s="47" t="s">
        <v>114</v>
      </c>
      <c r="B90" s="48" t="s">
        <v>0</v>
      </c>
      <c r="C90" s="10">
        <v>96973</v>
      </c>
      <c r="D90" s="49" t="s">
        <v>73</v>
      </c>
      <c r="E90" s="10" t="s">
        <v>137</v>
      </c>
      <c r="F90" s="17">
        <v>220</v>
      </c>
      <c r="G90" s="22">
        <v>69.97</v>
      </c>
      <c r="H90" s="11">
        <f t="shared" si="8"/>
        <v>86.44</v>
      </c>
      <c r="I90" s="113">
        <f t="shared" si="9"/>
        <v>19016.8</v>
      </c>
      <c r="J90" s="120" t="s">
        <v>167</v>
      </c>
      <c r="K90" s="50"/>
    </row>
    <row r="91" spans="1:11" ht="15.75" x14ac:dyDescent="0.25">
      <c r="A91" s="47" t="s">
        <v>392</v>
      </c>
      <c r="B91" s="48" t="s">
        <v>0</v>
      </c>
      <c r="C91" s="10">
        <v>96977</v>
      </c>
      <c r="D91" s="49" t="s">
        <v>74</v>
      </c>
      <c r="E91" s="10" t="s">
        <v>137</v>
      </c>
      <c r="F91" s="17">
        <v>80</v>
      </c>
      <c r="G91" s="22">
        <v>45.65</v>
      </c>
      <c r="H91" s="11">
        <f t="shared" si="8"/>
        <v>56.4</v>
      </c>
      <c r="I91" s="113">
        <f t="shared" si="9"/>
        <v>4512</v>
      </c>
      <c r="J91" s="120" t="s">
        <v>167</v>
      </c>
      <c r="K91" s="50"/>
    </row>
    <row r="92" spans="1:11" ht="15.75" x14ac:dyDescent="0.25">
      <c r="A92" s="47" t="s">
        <v>393</v>
      </c>
      <c r="B92" s="10" t="s">
        <v>13</v>
      </c>
      <c r="C92" s="10">
        <v>4274</v>
      </c>
      <c r="D92" s="49" t="s">
        <v>75</v>
      </c>
      <c r="E92" s="10" t="s">
        <v>138</v>
      </c>
      <c r="F92" s="17">
        <v>2</v>
      </c>
      <c r="G92" s="22">
        <v>136.38</v>
      </c>
      <c r="H92" s="11">
        <f t="shared" si="8"/>
        <v>168.48</v>
      </c>
      <c r="I92" s="113">
        <f t="shared" si="9"/>
        <v>336.96</v>
      </c>
      <c r="J92" s="120" t="s">
        <v>167</v>
      </c>
      <c r="K92" s="50"/>
    </row>
    <row r="93" spans="1:11" ht="15.75" x14ac:dyDescent="0.25">
      <c r="A93" s="47" t="s">
        <v>394</v>
      </c>
      <c r="B93" s="10" t="s">
        <v>13</v>
      </c>
      <c r="C93" s="10">
        <v>2685</v>
      </c>
      <c r="D93" s="49" t="s">
        <v>76</v>
      </c>
      <c r="E93" s="10" t="s">
        <v>138</v>
      </c>
      <c r="F93" s="17">
        <v>10</v>
      </c>
      <c r="G93" s="22">
        <v>6.87</v>
      </c>
      <c r="H93" s="11">
        <f t="shared" si="8"/>
        <v>8.49</v>
      </c>
      <c r="I93" s="113">
        <f t="shared" si="9"/>
        <v>84.9</v>
      </c>
      <c r="J93" s="120" t="s">
        <v>167</v>
      </c>
      <c r="K93" s="50"/>
    </row>
    <row r="94" spans="1:11" ht="15.75" x14ac:dyDescent="0.25">
      <c r="A94" s="44" t="s">
        <v>395</v>
      </c>
      <c r="B94" s="45"/>
      <c r="C94" s="45"/>
      <c r="D94" s="46" t="s">
        <v>77</v>
      </c>
      <c r="E94" s="12"/>
      <c r="F94" s="18"/>
      <c r="G94" s="23"/>
      <c r="H94" s="13"/>
      <c r="I94" s="112">
        <f>SUM(I95:I102)</f>
        <v>8720.4499999999971</v>
      </c>
      <c r="J94" s="14"/>
      <c r="K94" s="52"/>
    </row>
    <row r="95" spans="1:11" ht="47.25" x14ac:dyDescent="0.25">
      <c r="A95" s="47" t="s">
        <v>116</v>
      </c>
      <c r="B95" s="48" t="s">
        <v>0</v>
      </c>
      <c r="C95" s="10">
        <v>91854</v>
      </c>
      <c r="D95" s="49" t="s">
        <v>55</v>
      </c>
      <c r="E95" s="10" t="s">
        <v>137</v>
      </c>
      <c r="F95" s="17">
        <v>100</v>
      </c>
      <c r="G95" s="22">
        <v>12.01</v>
      </c>
      <c r="H95" s="11">
        <f t="shared" ref="H95:H102" si="10">ROUND(G95*(1+$B$7),2)</f>
        <v>14.84</v>
      </c>
      <c r="I95" s="113">
        <f t="shared" ref="I95:I102" si="11">H95*F95</f>
        <v>1484</v>
      </c>
      <c r="J95" s="120" t="s">
        <v>168</v>
      </c>
      <c r="K95" s="50"/>
    </row>
    <row r="96" spans="1:11" ht="47.25" x14ac:dyDescent="0.25">
      <c r="A96" s="47" t="s">
        <v>117</v>
      </c>
      <c r="B96" s="48" t="s">
        <v>0</v>
      </c>
      <c r="C96" s="10">
        <v>91856</v>
      </c>
      <c r="D96" s="49" t="s">
        <v>56</v>
      </c>
      <c r="E96" s="10" t="s">
        <v>137</v>
      </c>
      <c r="F96" s="17">
        <v>50</v>
      </c>
      <c r="G96" s="22">
        <v>14.76</v>
      </c>
      <c r="H96" s="11">
        <f t="shared" si="10"/>
        <v>18.23</v>
      </c>
      <c r="I96" s="113">
        <f t="shared" si="11"/>
        <v>911.5</v>
      </c>
      <c r="J96" s="120" t="s">
        <v>168</v>
      </c>
      <c r="K96" s="50"/>
    </row>
    <row r="97" spans="1:11" ht="15.75" x14ac:dyDescent="0.25">
      <c r="A97" s="47" t="s">
        <v>119</v>
      </c>
      <c r="B97" s="48" t="s">
        <v>0</v>
      </c>
      <c r="C97" s="10">
        <v>98307</v>
      </c>
      <c r="D97" s="49" t="s">
        <v>78</v>
      </c>
      <c r="E97" s="10" t="s">
        <v>138</v>
      </c>
      <c r="F97" s="17">
        <v>14</v>
      </c>
      <c r="G97" s="22">
        <v>53.2</v>
      </c>
      <c r="H97" s="11">
        <f t="shared" si="10"/>
        <v>65.72</v>
      </c>
      <c r="I97" s="113">
        <f t="shared" si="11"/>
        <v>920.07999999999993</v>
      </c>
      <c r="J97" s="120" t="s">
        <v>168</v>
      </c>
      <c r="K97" s="50"/>
    </row>
    <row r="98" spans="1:11" ht="15.75" x14ac:dyDescent="0.25">
      <c r="A98" s="47" t="s">
        <v>118</v>
      </c>
      <c r="B98" s="48" t="s">
        <v>0</v>
      </c>
      <c r="C98" s="10">
        <v>98308</v>
      </c>
      <c r="D98" s="49" t="s">
        <v>79</v>
      </c>
      <c r="E98" s="10" t="s">
        <v>138</v>
      </c>
      <c r="F98" s="17">
        <v>14</v>
      </c>
      <c r="G98" s="22">
        <v>36.6</v>
      </c>
      <c r="H98" s="11">
        <f t="shared" si="10"/>
        <v>45.22</v>
      </c>
      <c r="I98" s="113">
        <f t="shared" si="11"/>
        <v>633.07999999999993</v>
      </c>
      <c r="J98" s="120" t="s">
        <v>168</v>
      </c>
      <c r="K98" s="50"/>
    </row>
    <row r="99" spans="1:11" ht="15.75" x14ac:dyDescent="0.25">
      <c r="A99" s="47" t="s">
        <v>396</v>
      </c>
      <c r="B99" s="48" t="s">
        <v>0</v>
      </c>
      <c r="C99" s="10">
        <v>98301</v>
      </c>
      <c r="D99" s="49" t="s">
        <v>133</v>
      </c>
      <c r="E99" s="10" t="s">
        <v>138</v>
      </c>
      <c r="F99" s="17">
        <v>1</v>
      </c>
      <c r="G99" s="22">
        <v>709.27</v>
      </c>
      <c r="H99" s="11">
        <f t="shared" si="10"/>
        <v>876.23</v>
      </c>
      <c r="I99" s="113">
        <f t="shared" si="11"/>
        <v>876.23</v>
      </c>
      <c r="J99" s="120" t="s">
        <v>168</v>
      </c>
      <c r="K99" s="50"/>
    </row>
    <row r="100" spans="1:11" ht="15.75" x14ac:dyDescent="0.25">
      <c r="A100" s="47" t="s">
        <v>397</v>
      </c>
      <c r="B100" s="48" t="s">
        <v>0</v>
      </c>
      <c r="C100" s="10">
        <v>98296</v>
      </c>
      <c r="D100" s="49" t="s">
        <v>80</v>
      </c>
      <c r="E100" s="10" t="s">
        <v>137</v>
      </c>
      <c r="F100" s="17">
        <v>160</v>
      </c>
      <c r="G100" s="22">
        <v>10.95</v>
      </c>
      <c r="H100" s="11">
        <f t="shared" si="10"/>
        <v>13.53</v>
      </c>
      <c r="I100" s="113">
        <f t="shared" si="11"/>
        <v>2164.7999999999997</v>
      </c>
      <c r="J100" s="120" t="s">
        <v>168</v>
      </c>
      <c r="K100" s="50"/>
    </row>
    <row r="101" spans="1:11" ht="15.75" x14ac:dyDescent="0.25">
      <c r="A101" s="47" t="s">
        <v>398</v>
      </c>
      <c r="B101" s="48" t="s">
        <v>0</v>
      </c>
      <c r="C101" s="10">
        <v>98294</v>
      </c>
      <c r="D101" s="49" t="s">
        <v>81</v>
      </c>
      <c r="E101" s="10" t="s">
        <v>137</v>
      </c>
      <c r="F101" s="17">
        <v>160</v>
      </c>
      <c r="G101" s="22">
        <v>7.47</v>
      </c>
      <c r="H101" s="11">
        <f t="shared" si="10"/>
        <v>9.23</v>
      </c>
      <c r="I101" s="113">
        <f t="shared" si="11"/>
        <v>1476.8000000000002</v>
      </c>
      <c r="J101" s="120" t="s">
        <v>168</v>
      </c>
      <c r="K101" s="50"/>
    </row>
    <row r="102" spans="1:11" ht="31.5" x14ac:dyDescent="0.25">
      <c r="A102" s="47" t="s">
        <v>399</v>
      </c>
      <c r="B102" s="48" t="s">
        <v>0</v>
      </c>
      <c r="C102" s="10">
        <v>91941</v>
      </c>
      <c r="D102" s="49" t="s">
        <v>44</v>
      </c>
      <c r="E102" s="10" t="s">
        <v>138</v>
      </c>
      <c r="F102" s="17">
        <v>14</v>
      </c>
      <c r="G102" s="22">
        <v>14.68</v>
      </c>
      <c r="H102" s="11">
        <f t="shared" si="10"/>
        <v>18.14</v>
      </c>
      <c r="I102" s="113">
        <f t="shared" si="11"/>
        <v>253.96</v>
      </c>
      <c r="J102" s="120" t="s">
        <v>168</v>
      </c>
      <c r="K102" s="50"/>
    </row>
    <row r="103" spans="1:11" ht="15.75" x14ac:dyDescent="0.25">
      <c r="A103" s="44" t="s">
        <v>120</v>
      </c>
      <c r="B103" s="45"/>
      <c r="C103" s="45"/>
      <c r="D103" s="46" t="s">
        <v>82</v>
      </c>
      <c r="E103" s="12"/>
      <c r="F103" s="18"/>
      <c r="G103" s="23"/>
      <c r="H103" s="13"/>
      <c r="I103" s="112">
        <f>SUM(I104:I108)</f>
        <v>74449.071299999996</v>
      </c>
      <c r="J103" s="14"/>
      <c r="K103" s="52"/>
    </row>
    <row r="104" spans="1:11" ht="31.5" x14ac:dyDescent="0.25">
      <c r="A104" s="47" t="s">
        <v>121</v>
      </c>
      <c r="B104" s="48" t="s">
        <v>0</v>
      </c>
      <c r="C104" s="10">
        <v>88489</v>
      </c>
      <c r="D104" s="49" t="s">
        <v>83</v>
      </c>
      <c r="E104" s="10" t="s">
        <v>136</v>
      </c>
      <c r="F104" s="17">
        <v>474.4</v>
      </c>
      <c r="G104" s="22">
        <v>14.76</v>
      </c>
      <c r="H104" s="11">
        <f t="shared" ref="H104:H108" si="12">ROUND(G104*(1+$B$7),2)</f>
        <v>18.23</v>
      </c>
      <c r="I104" s="113">
        <f>H104*F104</f>
        <v>8648.3119999999999</v>
      </c>
      <c r="J104" s="120" t="s">
        <v>169</v>
      </c>
      <c r="K104" s="50"/>
    </row>
    <row r="105" spans="1:11" ht="31.5" x14ac:dyDescent="0.25">
      <c r="A105" s="47" t="s">
        <v>122</v>
      </c>
      <c r="B105" s="48" t="s">
        <v>0</v>
      </c>
      <c r="C105" s="10">
        <v>88488</v>
      </c>
      <c r="D105" s="49" t="s">
        <v>84</v>
      </c>
      <c r="E105" s="10" t="s">
        <v>136</v>
      </c>
      <c r="F105" s="17">
        <v>194.14</v>
      </c>
      <c r="G105" s="22">
        <v>17.760000000000002</v>
      </c>
      <c r="H105" s="11">
        <f t="shared" si="12"/>
        <v>21.94</v>
      </c>
      <c r="I105" s="113">
        <f>H105*F105</f>
        <v>4259.4315999999999</v>
      </c>
      <c r="J105" s="120" t="s">
        <v>170</v>
      </c>
      <c r="K105" s="50"/>
    </row>
    <row r="106" spans="1:11" ht="15.75" x14ac:dyDescent="0.25">
      <c r="A106" s="47" t="s">
        <v>123</v>
      </c>
      <c r="B106" s="10" t="s">
        <v>2</v>
      </c>
      <c r="C106" s="10" t="s">
        <v>176</v>
      </c>
      <c r="D106" s="49" t="s">
        <v>85</v>
      </c>
      <c r="E106" s="10" t="s">
        <v>136</v>
      </c>
      <c r="F106" s="17">
        <v>384.39</v>
      </c>
      <c r="G106" s="22">
        <v>124.22</v>
      </c>
      <c r="H106" s="11">
        <f t="shared" si="12"/>
        <v>153.46</v>
      </c>
      <c r="I106" s="113">
        <f>H106*F106</f>
        <v>58988.489399999999</v>
      </c>
      <c r="J106" s="120" t="s">
        <v>170</v>
      </c>
      <c r="K106" s="50"/>
    </row>
    <row r="107" spans="1:11" ht="31.5" x14ac:dyDescent="0.25">
      <c r="A107" s="47" t="s">
        <v>124</v>
      </c>
      <c r="B107" s="48" t="s">
        <v>0</v>
      </c>
      <c r="C107" s="10">
        <v>100746</v>
      </c>
      <c r="D107" s="49" t="s">
        <v>86</v>
      </c>
      <c r="E107" s="10" t="s">
        <v>136</v>
      </c>
      <c r="F107" s="17">
        <v>30.48</v>
      </c>
      <c r="G107" s="22">
        <v>30.84</v>
      </c>
      <c r="H107" s="11">
        <f t="shared" si="12"/>
        <v>38.1</v>
      </c>
      <c r="I107" s="113">
        <f>H107*F107</f>
        <v>1161.288</v>
      </c>
      <c r="J107" s="120" t="s">
        <v>171</v>
      </c>
      <c r="K107" s="50"/>
    </row>
    <row r="108" spans="1:11" ht="63" x14ac:dyDescent="0.25">
      <c r="A108" s="47" t="s">
        <v>125</v>
      </c>
      <c r="B108" s="48" t="s">
        <v>0</v>
      </c>
      <c r="C108" s="10">
        <v>100745</v>
      </c>
      <c r="D108" s="49" t="s">
        <v>209</v>
      </c>
      <c r="E108" s="10" t="s">
        <v>136</v>
      </c>
      <c r="F108" s="17">
        <v>38.43</v>
      </c>
      <c r="G108" s="22">
        <v>29.31</v>
      </c>
      <c r="H108" s="11">
        <f t="shared" si="12"/>
        <v>36.21</v>
      </c>
      <c r="I108" s="113">
        <f>H108*F108</f>
        <v>1391.5503000000001</v>
      </c>
      <c r="J108" s="110" t="s">
        <v>171</v>
      </c>
      <c r="K108" s="54"/>
    </row>
    <row r="109" spans="1:11" ht="15.75" x14ac:dyDescent="0.25">
      <c r="A109" s="44" t="s">
        <v>126</v>
      </c>
      <c r="B109" s="45"/>
      <c r="C109" s="45"/>
      <c r="D109" s="46" t="s">
        <v>87</v>
      </c>
      <c r="E109" s="12"/>
      <c r="F109" s="18"/>
      <c r="G109" s="23"/>
      <c r="H109" s="13"/>
      <c r="I109" s="112">
        <f>I110</f>
        <v>6589.64</v>
      </c>
      <c r="J109" s="14"/>
      <c r="K109" s="52"/>
    </row>
    <row r="110" spans="1:11" ht="15.75" x14ac:dyDescent="0.25">
      <c r="A110" s="47" t="s">
        <v>128</v>
      </c>
      <c r="B110" s="10" t="s">
        <v>9</v>
      </c>
      <c r="C110" s="10" t="s">
        <v>177</v>
      </c>
      <c r="D110" s="49" t="s">
        <v>87</v>
      </c>
      <c r="E110" s="10" t="s">
        <v>138</v>
      </c>
      <c r="F110" s="17">
        <v>1</v>
      </c>
      <c r="G110" s="22">
        <f>6626.1*(1-0.195)</f>
        <v>5334.0105000000003</v>
      </c>
      <c r="H110" s="11">
        <f>ROUND(G110*(1+$B$7),2)</f>
        <v>6589.64</v>
      </c>
      <c r="I110" s="113">
        <f>H110*F110</f>
        <v>6589.64</v>
      </c>
      <c r="J110" s="120" t="s">
        <v>172</v>
      </c>
      <c r="K110" s="50"/>
    </row>
    <row r="111" spans="1:11" ht="15.75" x14ac:dyDescent="0.25">
      <c r="A111" s="44" t="s">
        <v>129</v>
      </c>
      <c r="B111" s="45"/>
      <c r="C111" s="45"/>
      <c r="D111" s="46" t="s">
        <v>88</v>
      </c>
      <c r="E111" s="12"/>
      <c r="F111" s="18"/>
      <c r="G111" s="23"/>
      <c r="H111" s="13"/>
      <c r="I111" s="112">
        <f>I112</f>
        <v>3421.4400000000005</v>
      </c>
      <c r="J111" s="14"/>
      <c r="K111" s="52"/>
    </row>
    <row r="112" spans="1:11" ht="15.75" x14ac:dyDescent="0.25">
      <c r="A112" s="47" t="s">
        <v>130</v>
      </c>
      <c r="B112" s="10" t="s">
        <v>2</v>
      </c>
      <c r="C112" s="10" t="s">
        <v>178</v>
      </c>
      <c r="D112" s="49" t="s">
        <v>134</v>
      </c>
      <c r="E112" s="10" t="s">
        <v>136</v>
      </c>
      <c r="F112" s="17">
        <v>194.4</v>
      </c>
      <c r="G112" s="22">
        <v>14.25</v>
      </c>
      <c r="H112" s="11">
        <f>ROUND(G112*(1+$B$7),2)</f>
        <v>17.600000000000001</v>
      </c>
      <c r="I112" s="113">
        <f>H112*F112</f>
        <v>3421.4400000000005</v>
      </c>
      <c r="J112" s="120" t="s">
        <v>173</v>
      </c>
      <c r="K112" s="50"/>
    </row>
    <row r="113" spans="1:11" ht="40.5" customHeight="1" thickBot="1" x14ac:dyDescent="0.3">
      <c r="A113" s="59"/>
      <c r="B113" s="60"/>
      <c r="C113" s="60"/>
      <c r="D113" s="60"/>
      <c r="E113" s="26"/>
      <c r="F113" s="26"/>
      <c r="G113" s="171" t="s">
        <v>337</v>
      </c>
      <c r="H113" s="172"/>
      <c r="I113" s="114">
        <f>I111+I109+I103+I94+I87+I55+I31+I24+I22+I18+I14+I11</f>
        <v>301390.48960000003</v>
      </c>
      <c r="J113" s="122"/>
      <c r="K113" s="61"/>
    </row>
    <row r="114" spans="1:11" ht="16.5" customHeight="1" x14ac:dyDescent="0.25">
      <c r="A114" s="62" t="s">
        <v>218</v>
      </c>
      <c r="B114" s="63"/>
      <c r="C114" s="63"/>
      <c r="D114" s="64" t="s">
        <v>219</v>
      </c>
      <c r="E114" s="65"/>
      <c r="F114" s="65"/>
      <c r="G114" s="66"/>
      <c r="H114" s="67"/>
      <c r="I114" s="67"/>
      <c r="J114" s="124"/>
      <c r="K114" s="68"/>
    </row>
    <row r="115" spans="1:11" ht="16.5" customHeight="1" x14ac:dyDescent="0.25">
      <c r="A115" s="44" t="s">
        <v>220</v>
      </c>
      <c r="B115" s="45"/>
      <c r="C115" s="45"/>
      <c r="D115" s="46" t="s">
        <v>222</v>
      </c>
      <c r="E115" s="12"/>
      <c r="F115" s="12"/>
      <c r="G115" s="23"/>
      <c r="H115" s="13"/>
      <c r="I115" s="112">
        <f>SUM(I116:I122)</f>
        <v>2612.7409246239999</v>
      </c>
      <c r="J115" s="121"/>
      <c r="K115" s="43"/>
    </row>
    <row r="116" spans="1:11" ht="31.5" x14ac:dyDescent="0.25">
      <c r="A116" s="47" t="s">
        <v>223</v>
      </c>
      <c r="B116" s="48" t="s">
        <v>0</v>
      </c>
      <c r="C116" s="10">
        <v>97622</v>
      </c>
      <c r="D116" s="49" t="s">
        <v>228</v>
      </c>
      <c r="E116" s="10" t="s">
        <v>135</v>
      </c>
      <c r="F116" s="17">
        <f>0.8*2.1*0.15</f>
        <v>0.252</v>
      </c>
      <c r="G116" s="22">
        <v>73.38</v>
      </c>
      <c r="H116" s="11">
        <f t="shared" ref="H116:H119" si="13">G116*(1+$B$7)</f>
        <v>90.653651999999994</v>
      </c>
      <c r="I116" s="113">
        <f t="shared" ref="I116:I122" si="14">H116*F116</f>
        <v>22.844720303999999</v>
      </c>
      <c r="J116" s="120"/>
      <c r="K116" s="50"/>
    </row>
    <row r="117" spans="1:11" ht="47.25" x14ac:dyDescent="0.25">
      <c r="A117" s="47" t="s">
        <v>224</v>
      </c>
      <c r="B117" s="48" t="s">
        <v>0</v>
      </c>
      <c r="C117" s="48">
        <v>103325</v>
      </c>
      <c r="D117" s="49" t="s">
        <v>229</v>
      </c>
      <c r="E117" s="10" t="s">
        <v>136</v>
      </c>
      <c r="F117" s="17">
        <f>0.8*2.1</f>
        <v>1.6800000000000002</v>
      </c>
      <c r="G117" s="22">
        <v>84.11</v>
      </c>
      <c r="H117" s="11">
        <f t="shared" si="13"/>
        <v>103.90949400000001</v>
      </c>
      <c r="I117" s="113">
        <f t="shared" si="14"/>
        <v>174.56794992000005</v>
      </c>
      <c r="J117" s="120"/>
      <c r="K117" s="50"/>
    </row>
    <row r="118" spans="1:11" ht="63" x14ac:dyDescent="0.25">
      <c r="A118" s="47" t="s">
        <v>225</v>
      </c>
      <c r="B118" s="48" t="s">
        <v>0</v>
      </c>
      <c r="C118" s="10">
        <v>87879</v>
      </c>
      <c r="D118" s="49" t="s">
        <v>14</v>
      </c>
      <c r="E118" s="10" t="s">
        <v>136</v>
      </c>
      <c r="F118" s="17">
        <f>(F117*2)+(5*0.15)</f>
        <v>4.1100000000000003</v>
      </c>
      <c r="G118" s="22">
        <v>4.58</v>
      </c>
      <c r="H118" s="11">
        <f t="shared" si="13"/>
        <v>5.6581320000000002</v>
      </c>
      <c r="I118" s="113">
        <f t="shared" si="14"/>
        <v>23.254922520000001</v>
      </c>
      <c r="J118" s="120"/>
      <c r="K118" s="50"/>
    </row>
    <row r="119" spans="1:11" ht="59.25" customHeight="1" x14ac:dyDescent="0.25">
      <c r="A119" s="47" t="s">
        <v>226</v>
      </c>
      <c r="B119" s="48" t="s">
        <v>0</v>
      </c>
      <c r="C119" s="10">
        <v>87530</v>
      </c>
      <c r="D119" s="49" t="s">
        <v>15</v>
      </c>
      <c r="E119" s="10" t="s">
        <v>136</v>
      </c>
      <c r="F119" s="17">
        <f>F118</f>
        <v>4.1100000000000003</v>
      </c>
      <c r="G119" s="22">
        <v>45.02</v>
      </c>
      <c r="H119" s="11">
        <f t="shared" si="13"/>
        <v>55.617708000000007</v>
      </c>
      <c r="I119" s="113">
        <f t="shared" si="14"/>
        <v>228.58877988000006</v>
      </c>
      <c r="J119" s="120"/>
      <c r="K119" s="50"/>
    </row>
    <row r="120" spans="1:11" ht="31.5" x14ac:dyDescent="0.25">
      <c r="A120" s="47" t="s">
        <v>227</v>
      </c>
      <c r="B120" s="48" t="s">
        <v>232</v>
      </c>
      <c r="C120" s="10" t="s">
        <v>231</v>
      </c>
      <c r="D120" s="49" t="s">
        <v>230</v>
      </c>
      <c r="E120" s="10" t="s">
        <v>135</v>
      </c>
      <c r="F120" s="17">
        <v>3</v>
      </c>
      <c r="G120" s="22">
        <v>105.96</v>
      </c>
      <c r="H120" s="11">
        <f>G120*(1+$B$7)</f>
        <v>130.902984</v>
      </c>
      <c r="I120" s="113">
        <f t="shared" si="14"/>
        <v>392.70895200000001</v>
      </c>
      <c r="J120" s="110"/>
      <c r="K120" s="54"/>
    </row>
    <row r="121" spans="1:11" ht="78.75" x14ac:dyDescent="0.25">
      <c r="A121" s="10" t="s">
        <v>403</v>
      </c>
      <c r="B121" s="48" t="s">
        <v>0</v>
      </c>
      <c r="C121" s="10">
        <v>90843</v>
      </c>
      <c r="D121" s="49" t="s">
        <v>7</v>
      </c>
      <c r="E121" s="10" t="s">
        <v>138</v>
      </c>
      <c r="F121" s="17">
        <v>1</v>
      </c>
      <c r="G121" s="22">
        <v>1334.88</v>
      </c>
      <c r="H121" s="11">
        <f t="shared" ref="H121:H122" si="15">ROUND(G121*(1+$B$7),2)</f>
        <v>1649.11</v>
      </c>
      <c r="I121" s="113">
        <f t="shared" si="14"/>
        <v>1649.11</v>
      </c>
      <c r="J121" s="110"/>
      <c r="K121" s="54"/>
    </row>
    <row r="122" spans="1:11" ht="63" x14ac:dyDescent="0.25">
      <c r="A122" s="47" t="s">
        <v>404</v>
      </c>
      <c r="B122" s="48" t="s">
        <v>0</v>
      </c>
      <c r="C122" s="10">
        <v>100745</v>
      </c>
      <c r="D122" s="49" t="s">
        <v>209</v>
      </c>
      <c r="E122" s="10" t="s">
        <v>136</v>
      </c>
      <c r="F122" s="17">
        <f>0.8*2.1*2</f>
        <v>3.3600000000000003</v>
      </c>
      <c r="G122" s="22">
        <v>29.31</v>
      </c>
      <c r="H122" s="11">
        <f t="shared" si="15"/>
        <v>36.21</v>
      </c>
      <c r="I122" s="113">
        <f t="shared" si="14"/>
        <v>121.66560000000001</v>
      </c>
      <c r="J122" s="110"/>
      <c r="K122" s="51"/>
    </row>
    <row r="123" spans="1:11" ht="21" customHeight="1" x14ac:dyDescent="0.25">
      <c r="A123" s="44" t="s">
        <v>233</v>
      </c>
      <c r="B123" s="45"/>
      <c r="C123" s="45"/>
      <c r="D123" s="46" t="s">
        <v>236</v>
      </c>
      <c r="E123" s="12"/>
      <c r="F123" s="12"/>
      <c r="G123" s="23"/>
      <c r="H123" s="13"/>
      <c r="I123" s="112">
        <f>SUM(I124:I124)</f>
        <v>1327.9907592000004</v>
      </c>
      <c r="J123" s="14"/>
      <c r="K123" s="52"/>
    </row>
    <row r="124" spans="1:11" ht="47.25" x14ac:dyDescent="0.25">
      <c r="A124" s="47" t="s">
        <v>234</v>
      </c>
      <c r="B124" s="48" t="s">
        <v>0</v>
      </c>
      <c r="C124" s="10">
        <v>91341</v>
      </c>
      <c r="D124" s="49" t="s">
        <v>235</v>
      </c>
      <c r="E124" s="10" t="s">
        <v>136</v>
      </c>
      <c r="F124" s="17">
        <f>0.8*2.1</f>
        <v>1.6800000000000002</v>
      </c>
      <c r="G124" s="22">
        <v>639.85</v>
      </c>
      <c r="H124" s="11">
        <f t="shared" ref="H124" si="16">G124*(1+$B$7)</f>
        <v>790.4706900000001</v>
      </c>
      <c r="I124" s="113">
        <f>H124*F124</f>
        <v>1327.9907592000004</v>
      </c>
      <c r="J124" s="120"/>
      <c r="K124" s="69" t="s">
        <v>238</v>
      </c>
    </row>
    <row r="125" spans="1:11" ht="21" customHeight="1" x14ac:dyDescent="0.25">
      <c r="A125" s="44" t="s">
        <v>237</v>
      </c>
      <c r="B125" s="45"/>
      <c r="C125" s="45"/>
      <c r="D125" s="46" t="s">
        <v>241</v>
      </c>
      <c r="E125" s="12"/>
      <c r="F125" s="12"/>
      <c r="G125" s="23"/>
      <c r="H125" s="13"/>
      <c r="I125" s="112">
        <f>SUM(I126:I131)</f>
        <v>88693.203871859994</v>
      </c>
      <c r="J125" s="14"/>
      <c r="K125" s="43"/>
    </row>
    <row r="126" spans="1:11" ht="30" customHeight="1" x14ac:dyDescent="0.25">
      <c r="A126" s="47" t="s">
        <v>240</v>
      </c>
      <c r="B126" s="48" t="s">
        <v>0</v>
      </c>
      <c r="C126" s="10">
        <v>103946</v>
      </c>
      <c r="D126" s="49" t="s">
        <v>239</v>
      </c>
      <c r="E126" s="10" t="s">
        <v>136</v>
      </c>
      <c r="F126" s="17">
        <v>1250</v>
      </c>
      <c r="G126" s="22">
        <v>23.54</v>
      </c>
      <c r="H126" s="11">
        <f t="shared" ref="H126:H127" si="17">G126*(1+$B$7)</f>
        <v>29.081316000000001</v>
      </c>
      <c r="I126" s="113">
        <f>H126*F126</f>
        <v>36351.645000000004</v>
      </c>
      <c r="J126" s="120"/>
      <c r="K126" s="50"/>
    </row>
    <row r="127" spans="1:11" ht="30" customHeight="1" x14ac:dyDescent="0.25">
      <c r="A127" s="47" t="s">
        <v>243</v>
      </c>
      <c r="B127" s="48" t="s">
        <v>0</v>
      </c>
      <c r="C127" s="48">
        <v>98522</v>
      </c>
      <c r="D127" s="49" t="s">
        <v>242</v>
      </c>
      <c r="E127" s="10" t="s">
        <v>137</v>
      </c>
      <c r="F127" s="17">
        <v>176.75</v>
      </c>
      <c r="G127" s="22">
        <v>170.52</v>
      </c>
      <c r="H127" s="11">
        <f t="shared" si="17"/>
        <v>210.66040800000002</v>
      </c>
      <c r="I127" s="113">
        <f>H127*F127</f>
        <v>37234.227114000001</v>
      </c>
      <c r="J127" s="120"/>
      <c r="K127" s="54"/>
    </row>
    <row r="128" spans="1:11" ht="31.5" x14ac:dyDescent="0.25">
      <c r="A128" s="47" t="s">
        <v>245</v>
      </c>
      <c r="B128" s="48" t="s">
        <v>232</v>
      </c>
      <c r="C128" s="48" t="s">
        <v>246</v>
      </c>
      <c r="D128" s="49" t="s">
        <v>244</v>
      </c>
      <c r="E128" s="10" t="s">
        <v>136</v>
      </c>
      <c r="F128" s="17">
        <f>(4*2.2)+(1.2*2.2)</f>
        <v>11.440000000000001</v>
      </c>
      <c r="G128" s="22">
        <v>936.76</v>
      </c>
      <c r="H128" s="11">
        <f t="shared" ref="H128:H129" si="18">G128*(1+$B$7)</f>
        <v>1157.2733040000001</v>
      </c>
      <c r="I128" s="113">
        <f>H128*F128</f>
        <v>13239.206597760001</v>
      </c>
      <c r="J128" s="120"/>
      <c r="K128" s="54"/>
    </row>
    <row r="129" spans="1:11" ht="31.5" x14ac:dyDescent="0.25">
      <c r="A129" s="47" t="s">
        <v>247</v>
      </c>
      <c r="B129" s="48" t="s">
        <v>0</v>
      </c>
      <c r="C129" s="10">
        <v>103913</v>
      </c>
      <c r="D129" s="49" t="s">
        <v>204</v>
      </c>
      <c r="E129" s="10" t="s">
        <v>136</v>
      </c>
      <c r="F129" s="17">
        <f>151.38-F29</f>
        <v>9.8899999999999864</v>
      </c>
      <c r="G129" s="22">
        <v>110.85</v>
      </c>
      <c r="H129" s="11">
        <f t="shared" si="18"/>
        <v>136.94408999999999</v>
      </c>
      <c r="I129" s="113">
        <f t="shared" ref="I129" si="19">H129*F129</f>
        <v>1354.3770500999981</v>
      </c>
      <c r="J129" s="50"/>
      <c r="K129" s="53" t="s">
        <v>420</v>
      </c>
    </row>
    <row r="130" spans="1:11" ht="47.25" x14ac:dyDescent="0.25">
      <c r="A130" s="47" t="s">
        <v>349</v>
      </c>
      <c r="B130" s="48" t="s">
        <v>0</v>
      </c>
      <c r="C130" s="10">
        <v>94198</v>
      </c>
      <c r="D130" s="49" t="s">
        <v>4</v>
      </c>
      <c r="E130" s="10" t="s">
        <v>136</v>
      </c>
      <c r="F130" s="103">
        <v>5</v>
      </c>
      <c r="G130" s="22">
        <v>60.43</v>
      </c>
      <c r="H130" s="11">
        <f t="shared" ref="H130" si="20">G130*(1+$B$7)</f>
        <v>74.655222000000009</v>
      </c>
      <c r="I130" s="113">
        <f t="shared" ref="I130" si="21">H130*F130</f>
        <v>373.27611000000002</v>
      </c>
      <c r="J130" s="50"/>
      <c r="K130" s="55" t="s">
        <v>350</v>
      </c>
    </row>
    <row r="131" spans="1:11" ht="47.25" x14ac:dyDescent="0.25">
      <c r="A131" s="108" t="s">
        <v>408</v>
      </c>
      <c r="B131" s="48" t="s">
        <v>0</v>
      </c>
      <c r="C131" s="10">
        <v>94990</v>
      </c>
      <c r="D131" s="49" t="s">
        <v>21</v>
      </c>
      <c r="E131" s="10" t="s">
        <v>135</v>
      </c>
      <c r="F131" s="17">
        <f>3.67-3.51</f>
        <v>0.16000000000000014</v>
      </c>
      <c r="G131" s="22">
        <v>710.66</v>
      </c>
      <c r="H131" s="11">
        <v>877.95</v>
      </c>
      <c r="I131" s="113">
        <f>H131*F131</f>
        <v>140.47200000000012</v>
      </c>
      <c r="J131" s="50"/>
      <c r="K131" s="55" t="s">
        <v>409</v>
      </c>
    </row>
    <row r="132" spans="1:11" ht="21" customHeight="1" x14ac:dyDescent="0.25">
      <c r="A132" s="44" t="s">
        <v>248</v>
      </c>
      <c r="B132" s="70"/>
      <c r="C132" s="70"/>
      <c r="D132" s="71" t="s">
        <v>249</v>
      </c>
      <c r="E132" s="72"/>
      <c r="F132" s="72"/>
      <c r="G132" s="73"/>
      <c r="H132" s="73"/>
      <c r="I132" s="115">
        <f>SUM(I133:I151)</f>
        <v>22774.090089324003</v>
      </c>
      <c r="J132" s="14"/>
      <c r="K132" s="52"/>
    </row>
    <row r="133" spans="1:11" ht="15.75" x14ac:dyDescent="0.25">
      <c r="A133" s="74" t="s">
        <v>250</v>
      </c>
      <c r="B133" s="75"/>
      <c r="C133" s="75"/>
      <c r="D133" s="76" t="s">
        <v>269</v>
      </c>
      <c r="E133" s="10"/>
      <c r="F133" s="10"/>
      <c r="G133" s="25"/>
      <c r="H133" s="25"/>
      <c r="I133" s="116"/>
      <c r="J133" s="120"/>
      <c r="K133" s="77"/>
    </row>
    <row r="134" spans="1:11" ht="47.25" x14ac:dyDescent="0.25">
      <c r="A134" s="47" t="s">
        <v>275</v>
      </c>
      <c r="B134" s="90" t="s">
        <v>0</v>
      </c>
      <c r="C134" s="48">
        <v>96527</v>
      </c>
      <c r="D134" s="49" t="s">
        <v>291</v>
      </c>
      <c r="E134" s="91" t="s">
        <v>255</v>
      </c>
      <c r="F134" s="17">
        <f>'MEMORIA CALCULO SERVIÇOS EXTRAS'!D3</f>
        <v>0.84600000000000009</v>
      </c>
      <c r="G134" s="22">
        <v>164.07</v>
      </c>
      <c r="H134" s="11">
        <f t="shared" ref="H134:H150" si="22">G134*(1+$B$7)</f>
        <v>202.69207800000001</v>
      </c>
      <c r="I134" s="113">
        <f t="shared" ref="I134:I150" si="23">H134*F134</f>
        <v>171.47749798800004</v>
      </c>
      <c r="J134" s="120"/>
      <c r="K134" s="50"/>
    </row>
    <row r="135" spans="1:11" ht="47.25" x14ac:dyDescent="0.25">
      <c r="A135" s="47" t="s">
        <v>276</v>
      </c>
      <c r="B135" s="90" t="s">
        <v>0</v>
      </c>
      <c r="C135" s="91">
        <v>94965</v>
      </c>
      <c r="D135" s="92" t="s">
        <v>292</v>
      </c>
      <c r="E135" s="91" t="s">
        <v>255</v>
      </c>
      <c r="F135" s="17">
        <f>'MEMORIA CALCULO SERVIÇOS EXTRAS'!D4</f>
        <v>0.84600000000000009</v>
      </c>
      <c r="G135" s="22">
        <v>419.9</v>
      </c>
      <c r="H135" s="11">
        <f t="shared" si="22"/>
        <v>518.74446</v>
      </c>
      <c r="I135" s="113">
        <f t="shared" si="23"/>
        <v>438.85781316000003</v>
      </c>
      <c r="J135" s="120"/>
      <c r="K135" s="50"/>
    </row>
    <row r="136" spans="1:11" ht="31.5" x14ac:dyDescent="0.25">
      <c r="A136" s="47" t="s">
        <v>277</v>
      </c>
      <c r="B136" s="90" t="s">
        <v>0</v>
      </c>
      <c r="C136" s="48">
        <v>103670</v>
      </c>
      <c r="D136" s="49" t="s">
        <v>293</v>
      </c>
      <c r="E136" s="91" t="s">
        <v>255</v>
      </c>
      <c r="F136" s="17">
        <f>'MEMORIA CALCULO SERVIÇOS EXTRAS'!D5</f>
        <v>0.84600000000000009</v>
      </c>
      <c r="G136" s="22">
        <v>368.72</v>
      </c>
      <c r="H136" s="11">
        <f t="shared" si="22"/>
        <v>455.51668800000004</v>
      </c>
      <c r="I136" s="113">
        <f t="shared" si="23"/>
        <v>385.36711804800007</v>
      </c>
      <c r="J136" s="120"/>
      <c r="K136" s="50"/>
    </row>
    <row r="137" spans="1:11" ht="47.25" x14ac:dyDescent="0.25">
      <c r="A137" s="47" t="s">
        <v>278</v>
      </c>
      <c r="B137" s="90" t="s">
        <v>0</v>
      </c>
      <c r="C137" s="91">
        <v>96530</v>
      </c>
      <c r="D137" s="92" t="s">
        <v>294</v>
      </c>
      <c r="E137" s="91" t="s">
        <v>260</v>
      </c>
      <c r="F137" s="17">
        <f>'MEMORIA CALCULO SERVIÇOS EXTRAS'!D6</f>
        <v>8.4599999999999991</v>
      </c>
      <c r="G137" s="22">
        <v>218.28</v>
      </c>
      <c r="H137" s="11">
        <f t="shared" si="22"/>
        <v>269.66311200000001</v>
      </c>
      <c r="I137" s="113">
        <f t="shared" si="23"/>
        <v>2281.3499275199997</v>
      </c>
      <c r="J137" s="120"/>
      <c r="K137" s="50"/>
    </row>
    <row r="138" spans="1:11" ht="15.75" x14ac:dyDescent="0.25">
      <c r="A138" s="47" t="s">
        <v>279</v>
      </c>
      <c r="B138" s="90" t="s">
        <v>232</v>
      </c>
      <c r="C138" s="91" t="s">
        <v>289</v>
      </c>
      <c r="D138" s="92" t="s">
        <v>261</v>
      </c>
      <c r="E138" s="91" t="s">
        <v>262</v>
      </c>
      <c r="F138" s="17">
        <f>'MEMORIA CALCULO SERVIÇOS EXTRAS'!D7</f>
        <v>84.600000000000009</v>
      </c>
      <c r="G138" s="22">
        <v>11.19</v>
      </c>
      <c r="H138" s="11">
        <f t="shared" si="22"/>
        <v>13.824126</v>
      </c>
      <c r="I138" s="113">
        <f t="shared" si="23"/>
        <v>1169.5210596000002</v>
      </c>
      <c r="J138" s="120"/>
      <c r="K138" s="50"/>
    </row>
    <row r="139" spans="1:11" ht="47.25" x14ac:dyDescent="0.25">
      <c r="A139" s="47" t="s">
        <v>280</v>
      </c>
      <c r="B139" s="90" t="s">
        <v>0</v>
      </c>
      <c r="C139" s="91">
        <v>101175</v>
      </c>
      <c r="D139" s="92" t="s">
        <v>295</v>
      </c>
      <c r="E139" s="91" t="s">
        <v>179</v>
      </c>
      <c r="F139" s="17">
        <f>'MEMORIA CALCULO SERVIÇOS EXTRAS'!D8</f>
        <v>8</v>
      </c>
      <c r="G139" s="22">
        <v>122.55</v>
      </c>
      <c r="H139" s="11">
        <f t="shared" si="22"/>
        <v>151.39827</v>
      </c>
      <c r="I139" s="113">
        <f t="shared" si="23"/>
        <v>1211.18616</v>
      </c>
      <c r="J139" s="120"/>
      <c r="K139" s="50"/>
    </row>
    <row r="140" spans="1:11" ht="15.75" x14ac:dyDescent="0.25">
      <c r="A140" s="78" t="s">
        <v>251</v>
      </c>
      <c r="B140" s="79"/>
      <c r="C140" s="79"/>
      <c r="D140" s="80" t="s">
        <v>270</v>
      </c>
      <c r="E140" s="81"/>
      <c r="F140" s="81"/>
      <c r="G140" s="82"/>
      <c r="H140" s="83"/>
      <c r="I140" s="117"/>
      <c r="J140" s="120"/>
      <c r="K140" s="77"/>
    </row>
    <row r="141" spans="1:11" ht="15.75" x14ac:dyDescent="0.25">
      <c r="A141" s="47" t="s">
        <v>281</v>
      </c>
      <c r="B141" s="93" t="s">
        <v>232</v>
      </c>
      <c r="C141" s="10" t="s">
        <v>290</v>
      </c>
      <c r="D141" s="84" t="s">
        <v>263</v>
      </c>
      <c r="E141" s="91" t="s">
        <v>255</v>
      </c>
      <c r="F141" s="17">
        <f>'MEMORIA CALCULO SERVIÇOS EXTRAS'!D10</f>
        <v>0.51900000000000002</v>
      </c>
      <c r="G141" s="22">
        <v>1819</v>
      </c>
      <c r="H141" s="25">
        <f t="shared" si="22"/>
        <v>2247.1926000000003</v>
      </c>
      <c r="I141" s="118">
        <f t="shared" si="23"/>
        <v>1166.2929594000002</v>
      </c>
      <c r="J141" s="120"/>
      <c r="K141" s="77"/>
    </row>
    <row r="142" spans="1:11" ht="15.75" x14ac:dyDescent="0.25">
      <c r="A142" s="78" t="s">
        <v>252</v>
      </c>
      <c r="B142" s="79"/>
      <c r="C142" s="79"/>
      <c r="D142" s="80" t="s">
        <v>271</v>
      </c>
      <c r="E142" s="81"/>
      <c r="F142" s="81"/>
      <c r="G142" s="82"/>
      <c r="H142" s="83"/>
      <c r="I142" s="117"/>
      <c r="J142" s="120"/>
      <c r="K142" s="77"/>
    </row>
    <row r="143" spans="1:11" ht="47.25" x14ac:dyDescent="0.25">
      <c r="A143" s="47" t="s">
        <v>282</v>
      </c>
      <c r="B143" s="48" t="s">
        <v>0</v>
      </c>
      <c r="C143" s="48">
        <v>103324</v>
      </c>
      <c r="D143" s="49" t="s">
        <v>304</v>
      </c>
      <c r="E143" s="90" t="s">
        <v>260</v>
      </c>
      <c r="F143" s="17">
        <f>'MEMORIA CALCULO SERVIÇOS EXTRAS'!D12</f>
        <v>4.8599999999999994</v>
      </c>
      <c r="G143" s="22">
        <v>81.99</v>
      </c>
      <c r="H143" s="11">
        <f t="shared" si="22"/>
        <v>101.290446</v>
      </c>
      <c r="I143" s="113">
        <f t="shared" si="23"/>
        <v>492.27156755999994</v>
      </c>
      <c r="J143" s="120"/>
      <c r="K143" s="50"/>
    </row>
    <row r="144" spans="1:11" ht="63" x14ac:dyDescent="0.25">
      <c r="A144" s="47" t="s">
        <v>283</v>
      </c>
      <c r="B144" s="48" t="s">
        <v>0</v>
      </c>
      <c r="C144" s="48">
        <v>87879</v>
      </c>
      <c r="D144" s="49" t="s">
        <v>14</v>
      </c>
      <c r="E144" s="90" t="s">
        <v>260</v>
      </c>
      <c r="F144" s="17">
        <f>'MEMORIA CALCULO SERVIÇOS EXTRAS'!D13</f>
        <v>3.5999999999999996</v>
      </c>
      <c r="G144" s="22">
        <v>4.58</v>
      </c>
      <c r="H144" s="11">
        <f t="shared" si="22"/>
        <v>5.6581320000000002</v>
      </c>
      <c r="I144" s="113">
        <f t="shared" si="23"/>
        <v>20.369275199999997</v>
      </c>
      <c r="J144" s="120"/>
      <c r="K144" s="50"/>
    </row>
    <row r="145" spans="1:13" ht="63" x14ac:dyDescent="0.25">
      <c r="A145" s="47" t="s">
        <v>284</v>
      </c>
      <c r="B145" s="48" t="s">
        <v>305</v>
      </c>
      <c r="C145" s="48">
        <v>87530</v>
      </c>
      <c r="D145" s="49" t="s">
        <v>15</v>
      </c>
      <c r="E145" s="90" t="s">
        <v>260</v>
      </c>
      <c r="F145" s="17">
        <f>'MEMORIA CALCULO SERVIÇOS EXTRAS'!D14</f>
        <v>3.5999999999999996</v>
      </c>
      <c r="G145" s="22">
        <v>45.02</v>
      </c>
      <c r="H145" s="11">
        <f t="shared" si="22"/>
        <v>55.617708000000007</v>
      </c>
      <c r="I145" s="113">
        <f t="shared" si="23"/>
        <v>200.22374880000001</v>
      </c>
      <c r="J145" s="120"/>
      <c r="K145" s="50"/>
    </row>
    <row r="146" spans="1:13" ht="31.5" x14ac:dyDescent="0.25">
      <c r="A146" s="47" t="s">
        <v>285</v>
      </c>
      <c r="B146" s="48" t="s">
        <v>0</v>
      </c>
      <c r="C146" s="91">
        <v>88489</v>
      </c>
      <c r="D146" s="94" t="s">
        <v>306</v>
      </c>
      <c r="E146" s="48" t="s">
        <v>260</v>
      </c>
      <c r="F146" s="17">
        <f>'MEMORIA CALCULO SERVIÇOS EXTRAS'!D15</f>
        <v>3.5999999999999996</v>
      </c>
      <c r="G146" s="22">
        <v>14.76</v>
      </c>
      <c r="H146" s="11">
        <f t="shared" si="22"/>
        <v>18.234504000000001</v>
      </c>
      <c r="I146" s="113">
        <f t="shared" si="23"/>
        <v>65.644214399999996</v>
      </c>
      <c r="J146" s="120"/>
      <c r="K146" s="50"/>
    </row>
    <row r="147" spans="1:13" ht="15.75" x14ac:dyDescent="0.25">
      <c r="A147" s="78" t="s">
        <v>253</v>
      </c>
      <c r="B147" s="79"/>
      <c r="C147" s="79"/>
      <c r="D147" s="80" t="s">
        <v>272</v>
      </c>
      <c r="E147" s="81"/>
      <c r="F147" s="81"/>
      <c r="G147" s="82"/>
      <c r="H147" s="83"/>
      <c r="I147" s="117"/>
      <c r="J147" s="120"/>
      <c r="K147" s="77"/>
      <c r="L147" s="34"/>
      <c r="M147" s="34"/>
    </row>
    <row r="148" spans="1:13" ht="47.25" x14ac:dyDescent="0.25">
      <c r="A148" s="47" t="s">
        <v>286</v>
      </c>
      <c r="B148" s="10" t="s">
        <v>0</v>
      </c>
      <c r="C148" s="10">
        <v>102073</v>
      </c>
      <c r="D148" s="56" t="s">
        <v>310</v>
      </c>
      <c r="E148" s="10" t="s">
        <v>255</v>
      </c>
      <c r="F148" s="17">
        <f>'MEMORIA CALCULO SERVIÇOS EXTRAS'!D17</f>
        <v>0.48599999999999993</v>
      </c>
      <c r="G148" s="22">
        <v>3723.17</v>
      </c>
      <c r="H148" s="25">
        <f t="shared" si="22"/>
        <v>4599.6042180000004</v>
      </c>
      <c r="I148" s="118">
        <f t="shared" si="23"/>
        <v>2235.4076499479997</v>
      </c>
      <c r="J148" s="120"/>
      <c r="K148" s="77"/>
      <c r="L148" s="34"/>
      <c r="M148" s="34"/>
    </row>
    <row r="149" spans="1:13" ht="15.75" x14ac:dyDescent="0.25">
      <c r="A149" s="78" t="s">
        <v>273</v>
      </c>
      <c r="B149" s="79"/>
      <c r="C149" s="79"/>
      <c r="D149" s="80" t="s">
        <v>274</v>
      </c>
      <c r="E149" s="81"/>
      <c r="F149" s="81"/>
      <c r="G149" s="82"/>
      <c r="H149" s="83"/>
      <c r="I149" s="117"/>
      <c r="J149" s="120"/>
      <c r="K149" s="77"/>
      <c r="L149" s="34"/>
      <c r="M149" s="34"/>
    </row>
    <row r="150" spans="1:13" ht="31.5" x14ac:dyDescent="0.25">
      <c r="A150" s="47" t="s">
        <v>287</v>
      </c>
      <c r="B150" s="48" t="s">
        <v>0</v>
      </c>
      <c r="C150" s="10">
        <v>99855</v>
      </c>
      <c r="D150" s="49" t="s">
        <v>312</v>
      </c>
      <c r="E150" s="10" t="s">
        <v>179</v>
      </c>
      <c r="F150" s="17">
        <v>32.200000000000003</v>
      </c>
      <c r="G150" s="22">
        <v>116.98</v>
      </c>
      <c r="H150" s="11">
        <f t="shared" si="22"/>
        <v>144.51709200000002</v>
      </c>
      <c r="I150" s="113">
        <f t="shared" si="23"/>
        <v>4653.4503624000008</v>
      </c>
      <c r="J150" s="120"/>
      <c r="K150" s="50"/>
    </row>
    <row r="151" spans="1:13" ht="78.75" x14ac:dyDescent="0.25">
      <c r="A151" s="47" t="s">
        <v>288</v>
      </c>
      <c r="B151" s="48" t="s">
        <v>0</v>
      </c>
      <c r="C151" s="48">
        <v>99839</v>
      </c>
      <c r="D151" s="49" t="s">
        <v>313</v>
      </c>
      <c r="E151" s="10" t="s">
        <v>179</v>
      </c>
      <c r="F151" s="17">
        <v>12.35</v>
      </c>
      <c r="G151" s="22">
        <v>542.87</v>
      </c>
      <c r="H151" s="11">
        <f t="shared" ref="H151" si="24">G151*(1+$B$7)</f>
        <v>670.66159800000003</v>
      </c>
      <c r="I151" s="113">
        <f>H151*F151</f>
        <v>8282.6707353000002</v>
      </c>
      <c r="J151" s="120"/>
      <c r="K151" s="54"/>
    </row>
    <row r="152" spans="1:13" ht="21" customHeight="1" x14ac:dyDescent="0.25">
      <c r="A152" s="44" t="s">
        <v>314</v>
      </c>
      <c r="B152" s="70"/>
      <c r="C152" s="70"/>
      <c r="D152" s="71" t="s">
        <v>315</v>
      </c>
      <c r="E152" s="72"/>
      <c r="F152" s="72"/>
      <c r="G152" s="73"/>
      <c r="H152" s="73"/>
      <c r="I152" s="115">
        <f>SUM(I153:I166)</f>
        <v>14783.986967334002</v>
      </c>
      <c r="J152" s="14"/>
      <c r="K152" s="52"/>
    </row>
    <row r="153" spans="1:13" ht="15.75" x14ac:dyDescent="0.25">
      <c r="A153" s="74" t="s">
        <v>316</v>
      </c>
      <c r="B153" s="75"/>
      <c r="C153" s="75"/>
      <c r="D153" s="76" t="s">
        <v>269</v>
      </c>
      <c r="E153" s="10"/>
      <c r="F153" s="10"/>
      <c r="G153" s="25"/>
      <c r="H153" s="25"/>
      <c r="I153" s="116"/>
      <c r="J153" s="85"/>
      <c r="K153" s="85"/>
    </row>
    <row r="154" spans="1:13" ht="47.25" x14ac:dyDescent="0.25">
      <c r="A154" s="47" t="s">
        <v>317</v>
      </c>
      <c r="B154" s="93" t="s">
        <v>0</v>
      </c>
      <c r="C154" s="10">
        <v>96527</v>
      </c>
      <c r="D154" s="56" t="s">
        <v>291</v>
      </c>
      <c r="E154" s="91" t="s">
        <v>255</v>
      </c>
      <c r="F154" s="17">
        <f>'MEMORIA CALCULO SERVIÇOS EXTRAS'!D23</f>
        <v>0.75900000000000001</v>
      </c>
      <c r="G154" s="22">
        <v>164.07</v>
      </c>
      <c r="H154" s="25">
        <f t="shared" ref="H154:H159" si="25">G154*(1+$B$7)</f>
        <v>202.69207800000001</v>
      </c>
      <c r="I154" s="118">
        <f t="shared" ref="I154:I159" si="26">H154*F154</f>
        <v>153.843287202</v>
      </c>
      <c r="J154" s="77"/>
      <c r="K154" s="77"/>
    </row>
    <row r="155" spans="1:13" ht="47.25" x14ac:dyDescent="0.25">
      <c r="A155" s="47" t="s">
        <v>318</v>
      </c>
      <c r="B155" s="93" t="s">
        <v>0</v>
      </c>
      <c r="C155" s="91">
        <v>94965</v>
      </c>
      <c r="D155" s="92" t="s">
        <v>292</v>
      </c>
      <c r="E155" s="91" t="s">
        <v>255</v>
      </c>
      <c r="F155" s="17">
        <f>'MEMORIA CALCULO SERVIÇOS EXTRAS'!D24</f>
        <v>0.75900000000000001</v>
      </c>
      <c r="G155" s="22">
        <v>419.9</v>
      </c>
      <c r="H155" s="25">
        <f t="shared" si="25"/>
        <v>518.74446</v>
      </c>
      <c r="I155" s="118">
        <f t="shared" si="26"/>
        <v>393.72704514000003</v>
      </c>
      <c r="J155" s="77"/>
      <c r="K155" s="77"/>
    </row>
    <row r="156" spans="1:13" ht="31.5" x14ac:dyDescent="0.25">
      <c r="A156" s="47" t="s">
        <v>319</v>
      </c>
      <c r="B156" s="93" t="s">
        <v>0</v>
      </c>
      <c r="C156" s="10">
        <v>103670</v>
      </c>
      <c r="D156" s="56" t="s">
        <v>293</v>
      </c>
      <c r="E156" s="91" t="s">
        <v>255</v>
      </c>
      <c r="F156" s="17">
        <f>'MEMORIA CALCULO SERVIÇOS EXTRAS'!D25</f>
        <v>0.75900000000000001</v>
      </c>
      <c r="G156" s="22">
        <v>368.72</v>
      </c>
      <c r="H156" s="25">
        <f t="shared" si="25"/>
        <v>455.51668800000004</v>
      </c>
      <c r="I156" s="118">
        <f t="shared" si="26"/>
        <v>345.73716619200002</v>
      </c>
      <c r="J156" s="77"/>
      <c r="K156" s="77"/>
    </row>
    <row r="157" spans="1:13" ht="47.25" x14ac:dyDescent="0.25">
      <c r="A157" s="47" t="s">
        <v>320</v>
      </c>
      <c r="B157" s="93" t="s">
        <v>0</v>
      </c>
      <c r="C157" s="91">
        <v>96530</v>
      </c>
      <c r="D157" s="92" t="s">
        <v>294</v>
      </c>
      <c r="E157" s="91" t="s">
        <v>260</v>
      </c>
      <c r="F157" s="17">
        <f>'MEMORIA CALCULO SERVIÇOS EXTRAS'!D26</f>
        <v>7.59</v>
      </c>
      <c r="G157" s="22">
        <v>218.28</v>
      </c>
      <c r="H157" s="25">
        <f t="shared" si="25"/>
        <v>269.66311200000001</v>
      </c>
      <c r="I157" s="118">
        <f t="shared" si="26"/>
        <v>2046.74302008</v>
      </c>
      <c r="J157" s="77"/>
      <c r="K157" s="77"/>
    </row>
    <row r="158" spans="1:13" ht="15.75" x14ac:dyDescent="0.25">
      <c r="A158" s="47" t="s">
        <v>321</v>
      </c>
      <c r="B158" s="93" t="s">
        <v>232</v>
      </c>
      <c r="C158" s="91" t="s">
        <v>289</v>
      </c>
      <c r="D158" s="92" t="s">
        <v>261</v>
      </c>
      <c r="E158" s="91" t="s">
        <v>262</v>
      </c>
      <c r="F158" s="17">
        <f>'MEMORIA CALCULO SERVIÇOS EXTRAS'!D27</f>
        <v>75.900000000000006</v>
      </c>
      <c r="G158" s="22">
        <v>11.19</v>
      </c>
      <c r="H158" s="25">
        <f t="shared" si="25"/>
        <v>13.824126</v>
      </c>
      <c r="I158" s="118">
        <f t="shared" si="26"/>
        <v>1049.2511634</v>
      </c>
      <c r="J158" s="77"/>
      <c r="K158" s="77"/>
    </row>
    <row r="159" spans="1:13" ht="47.25" x14ac:dyDescent="0.25">
      <c r="A159" s="47" t="s">
        <v>322</v>
      </c>
      <c r="B159" s="93" t="s">
        <v>0</v>
      </c>
      <c r="C159" s="91">
        <v>101175</v>
      </c>
      <c r="D159" s="92" t="s">
        <v>295</v>
      </c>
      <c r="E159" s="91" t="s">
        <v>179</v>
      </c>
      <c r="F159" s="17">
        <f>'MEMORIA CALCULO SERVIÇOS EXTRAS'!D28</f>
        <v>9</v>
      </c>
      <c r="G159" s="22">
        <v>122.55</v>
      </c>
      <c r="H159" s="25">
        <f t="shared" si="25"/>
        <v>151.39827</v>
      </c>
      <c r="I159" s="118">
        <f t="shared" si="26"/>
        <v>1362.5844299999999</v>
      </c>
      <c r="J159" s="77"/>
      <c r="K159" s="77"/>
    </row>
    <row r="160" spans="1:13" ht="15.75" x14ac:dyDescent="0.25">
      <c r="A160" s="78" t="s">
        <v>323</v>
      </c>
      <c r="B160" s="79"/>
      <c r="C160" s="79"/>
      <c r="D160" s="80" t="s">
        <v>270</v>
      </c>
      <c r="E160" s="81"/>
      <c r="F160" s="81"/>
      <c r="G160" s="82"/>
      <c r="H160" s="83"/>
      <c r="I160" s="117"/>
      <c r="J160" s="77"/>
      <c r="K160" s="77"/>
    </row>
    <row r="161" spans="1:11" ht="15.75" x14ac:dyDescent="0.25">
      <c r="A161" s="47" t="s">
        <v>324</v>
      </c>
      <c r="B161" s="93" t="s">
        <v>232</v>
      </c>
      <c r="C161" s="10" t="s">
        <v>290</v>
      </c>
      <c r="D161" s="84" t="s">
        <v>263</v>
      </c>
      <c r="E161" s="91" t="s">
        <v>255</v>
      </c>
      <c r="F161" s="17">
        <f>'MEMORIA CALCULO SERVIÇOS EXTRAS'!D30</f>
        <v>0.97350000000000003</v>
      </c>
      <c r="G161" s="22">
        <v>1819</v>
      </c>
      <c r="H161" s="25">
        <f t="shared" ref="H161" si="27">G161*(1+$B$7)</f>
        <v>2247.1926000000003</v>
      </c>
      <c r="I161" s="118">
        <f t="shared" ref="I161" si="28">H161*F161</f>
        <v>2187.6419961000006</v>
      </c>
      <c r="J161" s="77"/>
      <c r="K161" s="77"/>
    </row>
    <row r="162" spans="1:11" ht="15.75" x14ac:dyDescent="0.25">
      <c r="A162" s="78" t="s">
        <v>325</v>
      </c>
      <c r="B162" s="79"/>
      <c r="C162" s="79"/>
      <c r="D162" s="80" t="s">
        <v>271</v>
      </c>
      <c r="E162" s="81"/>
      <c r="F162" s="81"/>
      <c r="G162" s="82"/>
      <c r="H162" s="83"/>
      <c r="I162" s="117"/>
      <c r="J162" s="77"/>
      <c r="K162" s="77"/>
    </row>
    <row r="163" spans="1:11" ht="47.25" x14ac:dyDescent="0.25">
      <c r="A163" s="47" t="s">
        <v>326</v>
      </c>
      <c r="B163" s="10" t="s">
        <v>0</v>
      </c>
      <c r="C163" s="10">
        <v>103324</v>
      </c>
      <c r="D163" s="56" t="s">
        <v>304</v>
      </c>
      <c r="E163" s="93" t="s">
        <v>260</v>
      </c>
      <c r="F163" s="17">
        <f>'MEMORIA CALCULO SERVIÇOS EXTRAS'!D32</f>
        <v>27.830000000000002</v>
      </c>
      <c r="G163" s="22">
        <v>81.99</v>
      </c>
      <c r="H163" s="25">
        <f t="shared" ref="H163:H166" si="29">G163*(1+$B$7)</f>
        <v>101.290446</v>
      </c>
      <c r="I163" s="118">
        <f t="shared" ref="I163:I166" si="30">H163*F163</f>
        <v>2818.9131121800001</v>
      </c>
      <c r="J163" s="77"/>
      <c r="K163" s="77"/>
    </row>
    <row r="164" spans="1:11" ht="63" x14ac:dyDescent="0.25">
      <c r="A164" s="47" t="s">
        <v>327</v>
      </c>
      <c r="B164" s="10" t="s">
        <v>0</v>
      </c>
      <c r="C164" s="10">
        <v>87879</v>
      </c>
      <c r="D164" s="56" t="s">
        <v>14</v>
      </c>
      <c r="E164" s="93" t="s">
        <v>260</v>
      </c>
      <c r="F164" s="17">
        <f>'MEMORIA CALCULO SERVIÇOS EXTRAS'!D33</f>
        <v>55.660000000000004</v>
      </c>
      <c r="G164" s="22">
        <v>4.58</v>
      </c>
      <c r="H164" s="25">
        <f t="shared" si="29"/>
        <v>5.6581320000000002</v>
      </c>
      <c r="I164" s="118">
        <f t="shared" si="30"/>
        <v>314.93162712000003</v>
      </c>
      <c r="J164" s="77"/>
      <c r="K164" s="77"/>
    </row>
    <row r="165" spans="1:11" ht="63" x14ac:dyDescent="0.25">
      <c r="A165" s="47" t="s">
        <v>328</v>
      </c>
      <c r="B165" s="10" t="s">
        <v>305</v>
      </c>
      <c r="C165" s="10">
        <v>87530</v>
      </c>
      <c r="D165" s="56" t="s">
        <v>15</v>
      </c>
      <c r="E165" s="93" t="s">
        <v>260</v>
      </c>
      <c r="F165" s="17">
        <f>'MEMORIA CALCULO SERVIÇOS EXTRAS'!D34</f>
        <v>55.660000000000004</v>
      </c>
      <c r="G165" s="22">
        <v>45.02</v>
      </c>
      <c r="H165" s="25">
        <f t="shared" si="29"/>
        <v>55.617708000000007</v>
      </c>
      <c r="I165" s="118">
        <f t="shared" si="30"/>
        <v>3095.6816272800006</v>
      </c>
      <c r="J165" s="77"/>
      <c r="K165" s="77"/>
    </row>
    <row r="166" spans="1:11" ht="31.5" x14ac:dyDescent="0.25">
      <c r="A166" s="47" t="s">
        <v>329</v>
      </c>
      <c r="B166" s="10" t="s">
        <v>0</v>
      </c>
      <c r="C166" s="91">
        <v>88489</v>
      </c>
      <c r="D166" s="94" t="s">
        <v>306</v>
      </c>
      <c r="E166" s="10" t="s">
        <v>260</v>
      </c>
      <c r="F166" s="17">
        <f>'MEMORIA CALCULO SERVIÇOS EXTRAS'!D35</f>
        <v>55.660000000000004</v>
      </c>
      <c r="G166" s="22">
        <v>14.76</v>
      </c>
      <c r="H166" s="25">
        <f t="shared" si="29"/>
        <v>18.234504000000001</v>
      </c>
      <c r="I166" s="118">
        <f t="shared" si="30"/>
        <v>1014.9324926400001</v>
      </c>
      <c r="J166" s="77"/>
      <c r="K166" s="77"/>
    </row>
    <row r="167" spans="1:11" ht="15.75" x14ac:dyDescent="0.25">
      <c r="A167" s="44" t="s">
        <v>343</v>
      </c>
      <c r="B167" s="70"/>
      <c r="C167" s="70"/>
      <c r="D167" s="71" t="s">
        <v>344</v>
      </c>
      <c r="E167" s="72"/>
      <c r="F167" s="72"/>
      <c r="G167" s="73"/>
      <c r="H167" s="73"/>
      <c r="I167" s="115">
        <f>I168+I169</f>
        <v>14531.362850400001</v>
      </c>
      <c r="J167" s="52"/>
      <c r="K167" s="52"/>
    </row>
    <row r="168" spans="1:11" ht="31.5" x14ac:dyDescent="0.25">
      <c r="A168" s="47" t="s">
        <v>345</v>
      </c>
      <c r="B168" s="93" t="s">
        <v>0</v>
      </c>
      <c r="C168" s="10">
        <v>102992</v>
      </c>
      <c r="D168" s="56" t="s">
        <v>347</v>
      </c>
      <c r="E168" s="91" t="s">
        <v>179</v>
      </c>
      <c r="F168" s="17">
        <v>122.15</v>
      </c>
      <c r="G168" s="22">
        <v>93.44</v>
      </c>
      <c r="H168" s="25">
        <f t="shared" ref="H168" si="31">G168*(1+$B$7)</f>
        <v>115.435776</v>
      </c>
      <c r="I168" s="118">
        <f t="shared" ref="I168" si="32">H168*F168</f>
        <v>14100.480038400001</v>
      </c>
      <c r="J168" s="77"/>
      <c r="K168" s="77"/>
    </row>
    <row r="169" spans="1:11" ht="31.5" x14ac:dyDescent="0.25">
      <c r="A169" s="47" t="s">
        <v>346</v>
      </c>
      <c r="B169" s="48" t="s">
        <v>0</v>
      </c>
      <c r="C169" s="10">
        <v>89512</v>
      </c>
      <c r="D169" s="49" t="s">
        <v>201</v>
      </c>
      <c r="E169" s="10" t="s">
        <v>137</v>
      </c>
      <c r="F169" s="17">
        <v>6</v>
      </c>
      <c r="G169" s="22">
        <v>58.13</v>
      </c>
      <c r="H169" s="11">
        <f>G169*(1+$B$7)</f>
        <v>71.81380200000001</v>
      </c>
      <c r="I169" s="113">
        <f>H169*F169</f>
        <v>430.88281200000006</v>
      </c>
      <c r="J169" s="77"/>
      <c r="K169" s="77"/>
    </row>
    <row r="170" spans="1:11" ht="15.75" x14ac:dyDescent="0.25">
      <c r="A170" s="44" t="s">
        <v>348</v>
      </c>
      <c r="B170" s="70"/>
      <c r="C170" s="70"/>
      <c r="D170" s="71" t="s">
        <v>351</v>
      </c>
      <c r="E170" s="72"/>
      <c r="F170" s="72"/>
      <c r="G170" s="73"/>
      <c r="H170" s="73"/>
      <c r="I170" s="115">
        <f>I171</f>
        <v>3161.0266277999999</v>
      </c>
      <c r="J170" s="52"/>
      <c r="K170" s="52"/>
    </row>
    <row r="171" spans="1:11" ht="47.25" x14ac:dyDescent="0.25">
      <c r="A171" s="10" t="s">
        <v>353</v>
      </c>
      <c r="B171" s="10" t="s">
        <v>0</v>
      </c>
      <c r="C171" s="91">
        <v>96111</v>
      </c>
      <c r="D171" s="94" t="s">
        <v>352</v>
      </c>
      <c r="E171" s="10" t="s">
        <v>136</v>
      </c>
      <c r="F171" s="102">
        <v>41.15</v>
      </c>
      <c r="G171" s="22">
        <v>62.18</v>
      </c>
      <c r="H171" s="11">
        <f>G171*(1+$B$7)</f>
        <v>76.817171999999999</v>
      </c>
      <c r="I171" s="113">
        <f>H171*F171</f>
        <v>3161.0266277999999</v>
      </c>
      <c r="J171" s="77"/>
      <c r="K171" s="77"/>
    </row>
    <row r="172" spans="1:11" ht="15.75" x14ac:dyDescent="0.25">
      <c r="A172" s="106" t="s">
        <v>405</v>
      </c>
      <c r="B172" s="70"/>
      <c r="C172" s="70"/>
      <c r="D172" s="71" t="s">
        <v>406</v>
      </c>
      <c r="E172" s="72"/>
      <c r="F172" s="72"/>
      <c r="G172" s="73"/>
      <c r="H172" s="73"/>
      <c r="I172" s="115">
        <f>I173</f>
        <v>1140.0034003200001</v>
      </c>
      <c r="J172" s="52"/>
      <c r="K172" s="52"/>
    </row>
    <row r="173" spans="1:11" ht="30" x14ac:dyDescent="0.25">
      <c r="A173" s="107" t="s">
        <v>407</v>
      </c>
      <c r="B173" s="3" t="s">
        <v>0</v>
      </c>
      <c r="C173" s="3">
        <v>103689</v>
      </c>
      <c r="D173" s="1" t="s">
        <v>1</v>
      </c>
      <c r="E173" s="3" t="s">
        <v>136</v>
      </c>
      <c r="F173" s="5">
        <v>2.88</v>
      </c>
      <c r="G173" s="6">
        <v>320.41000000000003</v>
      </c>
      <c r="H173" s="11">
        <f>G173*(1+$B$7)</f>
        <v>395.83451400000007</v>
      </c>
      <c r="I173" s="119">
        <f t="shared" ref="I173" si="33">H173*F173</f>
        <v>1140.0034003200001</v>
      </c>
      <c r="J173" s="77"/>
      <c r="K173" s="77"/>
    </row>
    <row r="174" spans="1:11" ht="15.75" x14ac:dyDescent="0.25">
      <c r="A174" s="106" t="s">
        <v>410</v>
      </c>
      <c r="B174" s="70"/>
      <c r="C174" s="70"/>
      <c r="D174" s="71" t="s">
        <v>411</v>
      </c>
      <c r="E174" s="72"/>
      <c r="F174" s="72"/>
      <c r="G174" s="73"/>
      <c r="H174" s="73"/>
      <c r="I174" s="115">
        <f>SUM(I175:I177)</f>
        <v>3301.7244351879608</v>
      </c>
      <c r="J174" s="52"/>
      <c r="K174" s="52"/>
    </row>
    <row r="175" spans="1:11" ht="31.5" x14ac:dyDescent="0.25">
      <c r="A175" s="107" t="s">
        <v>412</v>
      </c>
      <c r="B175" s="48" t="s">
        <v>0</v>
      </c>
      <c r="C175" s="10">
        <v>104789</v>
      </c>
      <c r="D175" s="49" t="s">
        <v>414</v>
      </c>
      <c r="E175" s="10" t="s">
        <v>135</v>
      </c>
      <c r="F175" s="17">
        <f>81.69*0.07</f>
        <v>5.7183000000000002</v>
      </c>
      <c r="G175" s="22">
        <v>258.23</v>
      </c>
      <c r="H175" s="11">
        <f>G175*(1+$B$7)</f>
        <v>319.01734200000004</v>
      </c>
      <c r="I175" s="113">
        <f>H175*F175</f>
        <v>1824.2368667586004</v>
      </c>
      <c r="J175" s="77"/>
      <c r="K175" s="111" t="s">
        <v>417</v>
      </c>
    </row>
    <row r="176" spans="1:11" ht="47.25" x14ac:dyDescent="0.25">
      <c r="A176" s="107" t="s">
        <v>413</v>
      </c>
      <c r="B176" s="48" t="s">
        <v>0</v>
      </c>
      <c r="C176" s="10">
        <v>94990</v>
      </c>
      <c r="D176" s="49" t="s">
        <v>21</v>
      </c>
      <c r="E176" s="10" t="s">
        <v>135</v>
      </c>
      <c r="F176" s="17">
        <f>11.49*0.05</f>
        <v>0.57450000000000001</v>
      </c>
      <c r="G176" s="22">
        <v>710.66</v>
      </c>
      <c r="H176" s="11">
        <v>877.95</v>
      </c>
      <c r="I176" s="113">
        <f>H176*F176</f>
        <v>504.38227500000005</v>
      </c>
      <c r="J176" s="77"/>
      <c r="K176" s="111" t="s">
        <v>418</v>
      </c>
    </row>
    <row r="177" spans="1:14" ht="47.25" x14ac:dyDescent="0.25">
      <c r="A177" s="107" t="s">
        <v>415</v>
      </c>
      <c r="B177" s="48" t="s">
        <v>232</v>
      </c>
      <c r="C177" s="10" t="s">
        <v>231</v>
      </c>
      <c r="D177" s="49" t="s">
        <v>416</v>
      </c>
      <c r="E177" s="10" t="s">
        <v>135</v>
      </c>
      <c r="F177" s="17">
        <f>F175*(1+0.3)</f>
        <v>7.4337900000000001</v>
      </c>
      <c r="G177" s="22">
        <v>105.96</v>
      </c>
      <c r="H177" s="11">
        <f>G177*(1+$B$7)</f>
        <v>130.902984</v>
      </c>
      <c r="I177" s="113">
        <f>H177*F177</f>
        <v>973.10529342936002</v>
      </c>
      <c r="J177" s="77"/>
      <c r="K177" s="111" t="s">
        <v>419</v>
      </c>
    </row>
    <row r="178" spans="1:14" ht="36" customHeight="1" thickBot="1" x14ac:dyDescent="0.3">
      <c r="A178" s="86"/>
      <c r="B178" s="87"/>
      <c r="C178" s="87"/>
      <c r="D178" s="87"/>
      <c r="E178" s="88"/>
      <c r="F178" s="88"/>
      <c r="G178" s="169" t="s">
        <v>338</v>
      </c>
      <c r="H178" s="170"/>
      <c r="I178" s="114">
        <f>I152+I132+I125+I123+I115+I170+I167+I172+I174</f>
        <v>152326.12992604997</v>
      </c>
      <c r="J178" s="89"/>
      <c r="K178" s="89"/>
    </row>
    <row r="179" spans="1:14" ht="33" customHeight="1" thickBot="1" x14ac:dyDescent="0.3">
      <c r="A179" s="95"/>
      <c r="B179" s="96"/>
      <c r="C179" s="96"/>
      <c r="D179" s="96"/>
      <c r="E179" s="97"/>
      <c r="F179" s="97"/>
      <c r="G179" s="173" t="s">
        <v>340</v>
      </c>
      <c r="H179" s="174"/>
      <c r="I179" s="99">
        <f>I178+I113</f>
        <v>453716.61952605</v>
      </c>
      <c r="J179" s="96"/>
      <c r="K179" s="98"/>
    </row>
    <row r="180" spans="1:14" x14ac:dyDescent="0.25">
      <c r="N180" t="s">
        <v>339</v>
      </c>
    </row>
    <row r="181" spans="1:14" x14ac:dyDescent="0.25">
      <c r="E181" s="156" t="s">
        <v>421</v>
      </c>
      <c r="F181" s="156"/>
      <c r="G181" s="156"/>
      <c r="H181" s="156"/>
      <c r="I181" s="156"/>
    </row>
    <row r="184" spans="1:14" x14ac:dyDescent="0.25">
      <c r="E184" s="156" t="s">
        <v>400</v>
      </c>
      <c r="F184" s="156"/>
      <c r="G184" s="156"/>
      <c r="H184" s="156"/>
      <c r="I184" s="156"/>
    </row>
    <row r="185" spans="1:14" x14ac:dyDescent="0.25">
      <c r="E185" s="156" t="s">
        <v>401</v>
      </c>
      <c r="F185" s="156"/>
      <c r="G185" s="156"/>
      <c r="H185" s="156"/>
      <c r="I185" s="156"/>
    </row>
    <row r="186" spans="1:14" x14ac:dyDescent="0.25">
      <c r="E186" s="156" t="s">
        <v>402</v>
      </c>
      <c r="F186" s="156"/>
      <c r="G186" s="156"/>
      <c r="H186" s="156"/>
      <c r="I186" s="156"/>
    </row>
  </sheetData>
  <mergeCells count="21">
    <mergeCell ref="E3:F3"/>
    <mergeCell ref="E4:F4"/>
    <mergeCell ref="E5:F5"/>
    <mergeCell ref="E6:F6"/>
    <mergeCell ref="A1:J2"/>
    <mergeCell ref="K8:K9"/>
    <mergeCell ref="G8:I8"/>
    <mergeCell ref="J8:J9"/>
    <mergeCell ref="A8:A9"/>
    <mergeCell ref="B8:B9"/>
    <mergeCell ref="C8:C9"/>
    <mergeCell ref="D8:D9"/>
    <mergeCell ref="E8:E9"/>
    <mergeCell ref="F8:F9"/>
    <mergeCell ref="G178:H178"/>
    <mergeCell ref="G113:H113"/>
    <mergeCell ref="E184:I184"/>
    <mergeCell ref="E185:I185"/>
    <mergeCell ref="E186:I186"/>
    <mergeCell ref="E181:I181"/>
    <mergeCell ref="G179:H179"/>
  </mergeCells>
  <conditionalFormatting sqref="F88:F93 F15:F17 F95:F102 F110 F112 F23 F12:G13 F19:G21 F25:G30 F32:G54 F56:G86 F104:G108 F134:G139 F141:G141 F143:G146">
    <cfRule type="expression" dxfId="116" priority="144" stopIfTrue="1">
      <formula>OR(Nível="Meta",Nível="Nível")</formula>
    </cfRule>
  </conditionalFormatting>
  <conditionalFormatting sqref="G15:G17 G88 G90:G93 G95:G102 G110 G112 G23">
    <cfRule type="expression" dxfId="115" priority="143" stopIfTrue="1">
      <formula>OR(Nível="Meta",Nível="Nível")</formula>
    </cfRule>
  </conditionalFormatting>
  <conditionalFormatting sqref="J11:J12 J109:J111 J59:J64 J47:J57 J38:J44 J22:J28 J14:J20 J30:J32 J34:J36 J66:J68 J70:J107 J134:J139 J141 J143:J146">
    <cfRule type="expression" dxfId="114" priority="142" stopIfTrue="1">
      <formula>OR(Nível="Meta",Nível="Nível")</formula>
    </cfRule>
  </conditionalFormatting>
  <conditionalFormatting sqref="J112">
    <cfRule type="expression" dxfId="113" priority="141" stopIfTrue="1">
      <formula>OR(Nível="Meta",Nível="Nível")</formula>
    </cfRule>
  </conditionalFormatting>
  <conditionalFormatting sqref="J13">
    <cfRule type="expression" dxfId="112" priority="140" stopIfTrue="1">
      <formula>OR(Nível="Meta",Nível="Nível")</formula>
    </cfRule>
  </conditionalFormatting>
  <conditionalFormatting sqref="J21">
    <cfRule type="expression" dxfId="111" priority="139" stopIfTrue="1">
      <formula>OR(Nível="Meta",Nível="Nível")</formula>
    </cfRule>
  </conditionalFormatting>
  <conditionalFormatting sqref="J29">
    <cfRule type="expression" dxfId="110" priority="138" stopIfTrue="1">
      <formula>OR(Nível="Meta",Nível="Nível")</formula>
    </cfRule>
  </conditionalFormatting>
  <conditionalFormatting sqref="J33">
    <cfRule type="expression" dxfId="109" priority="137" stopIfTrue="1">
      <formula>OR(Nível="Meta",Nível="Nível")</formula>
    </cfRule>
  </conditionalFormatting>
  <conditionalFormatting sqref="J37">
    <cfRule type="expression" dxfId="108" priority="136" stopIfTrue="1">
      <formula>OR(Nível="Meta",Nível="Nível")</formula>
    </cfRule>
  </conditionalFormatting>
  <conditionalFormatting sqref="J45">
    <cfRule type="expression" dxfId="107" priority="135" stopIfTrue="1">
      <formula>OR(Nível="Meta",Nível="Nível")</formula>
    </cfRule>
  </conditionalFormatting>
  <conditionalFormatting sqref="J46">
    <cfRule type="expression" dxfId="106" priority="134" stopIfTrue="1">
      <formula>OR(Nível="Meta",Nível="Nível")</formula>
    </cfRule>
  </conditionalFormatting>
  <conditionalFormatting sqref="J58">
    <cfRule type="expression" dxfId="105" priority="133" stopIfTrue="1">
      <formula>OR(Nível="Meta",Nível="Nível")</formula>
    </cfRule>
  </conditionalFormatting>
  <conditionalFormatting sqref="J65">
    <cfRule type="expression" dxfId="104" priority="132" stopIfTrue="1">
      <formula>OR(Nível="Meta",Nível="Nível")</formula>
    </cfRule>
  </conditionalFormatting>
  <conditionalFormatting sqref="J69">
    <cfRule type="expression" dxfId="103" priority="131" stopIfTrue="1">
      <formula>OR(Nível="Meta",Nível="Nível")</formula>
    </cfRule>
  </conditionalFormatting>
  <conditionalFormatting sqref="J108">
    <cfRule type="expression" dxfId="102" priority="130" stopIfTrue="1">
      <formula>OR(Nível="Meta",Nível="Nível")</formula>
    </cfRule>
  </conditionalFormatting>
  <conditionalFormatting sqref="J115">
    <cfRule type="expression" dxfId="101" priority="129" stopIfTrue="1">
      <formula>OR(Nível="Meta",Nível="Nível")</formula>
    </cfRule>
  </conditionalFormatting>
  <conditionalFormatting sqref="F116:G120">
    <cfRule type="expression" dxfId="100" priority="128" stopIfTrue="1">
      <formula>OR(Nível="Meta",Nível="Nível")</formula>
    </cfRule>
  </conditionalFormatting>
  <conditionalFormatting sqref="J116:J119">
    <cfRule type="expression" dxfId="99" priority="127" stopIfTrue="1">
      <formula>OR(Nível="Meta",Nível="Nível")</formula>
    </cfRule>
  </conditionalFormatting>
  <conditionalFormatting sqref="J120:J121">
    <cfRule type="expression" dxfId="98" priority="126" stopIfTrue="1">
      <formula>OR(Nível="Meta",Nível="Nível")</formula>
    </cfRule>
  </conditionalFormatting>
  <conditionalFormatting sqref="J123">
    <cfRule type="expression" dxfId="97" priority="125" stopIfTrue="1">
      <formula>OR(Nível="Meta",Nível="Nível")</formula>
    </cfRule>
  </conditionalFormatting>
  <conditionalFormatting sqref="F124:G124">
    <cfRule type="expression" dxfId="96" priority="124" stopIfTrue="1">
      <formula>OR(Nível="Meta",Nível="Nível")</formula>
    </cfRule>
  </conditionalFormatting>
  <conditionalFormatting sqref="J124">
    <cfRule type="expression" dxfId="95" priority="123" stopIfTrue="1">
      <formula>OR(Nível="Meta",Nível="Nível")</formula>
    </cfRule>
  </conditionalFormatting>
  <conditionalFormatting sqref="J125">
    <cfRule type="expression" dxfId="94" priority="121" stopIfTrue="1">
      <formula>OR(Nível="Meta",Nível="Nível")</formula>
    </cfRule>
  </conditionalFormatting>
  <conditionalFormatting sqref="F126:G127">
    <cfRule type="expression" dxfId="93" priority="120" stopIfTrue="1">
      <formula>OR(Nível="Meta",Nível="Nível")</formula>
    </cfRule>
  </conditionalFormatting>
  <conditionalFormatting sqref="J126">
    <cfRule type="expression" dxfId="92" priority="119" stopIfTrue="1">
      <formula>OR(Nível="Meta",Nível="Nível")</formula>
    </cfRule>
  </conditionalFormatting>
  <conditionalFormatting sqref="J127">
    <cfRule type="expression" dxfId="91" priority="118" stopIfTrue="1">
      <formula>OR(Nível="Meta",Nível="Nível")</formula>
    </cfRule>
  </conditionalFormatting>
  <conditionalFormatting sqref="F128:G128">
    <cfRule type="expression" dxfId="90" priority="117" stopIfTrue="1">
      <formula>OR(Nível="Meta",Nível="Nível")</formula>
    </cfRule>
  </conditionalFormatting>
  <conditionalFormatting sqref="J128">
    <cfRule type="expression" dxfId="89" priority="116" stopIfTrue="1">
      <formula>OR(Nível="Meta",Nível="Nível")</formula>
    </cfRule>
  </conditionalFormatting>
  <conditionalFormatting sqref="F129:G129">
    <cfRule type="expression" dxfId="88" priority="115" stopIfTrue="1">
      <formula>OR(Nível="Meta",Nível="Nível")</formula>
    </cfRule>
  </conditionalFormatting>
  <conditionalFormatting sqref="J132:J133">
    <cfRule type="expression" dxfId="87" priority="114" stopIfTrue="1">
      <formula>OR(Nível="Meta",Nível="Nível")</formula>
    </cfRule>
  </conditionalFormatting>
  <conditionalFormatting sqref="F148:G148 F150:G151">
    <cfRule type="expression" dxfId="86" priority="113" stopIfTrue="1">
      <formula>OR(Nível="Meta",Nível="Nível")</formula>
    </cfRule>
  </conditionalFormatting>
  <conditionalFormatting sqref="J148 J150">
    <cfRule type="expression" dxfId="85" priority="112" stopIfTrue="1">
      <formula>OR(Nível="Meta",Nível="Nível")</formula>
    </cfRule>
  </conditionalFormatting>
  <conditionalFormatting sqref="J151">
    <cfRule type="expression" dxfId="84" priority="111" stopIfTrue="1">
      <formula>OR(Nível="Meta",Nível="Nível")</formula>
    </cfRule>
  </conditionalFormatting>
  <conditionalFormatting sqref="D134 B135:D136 E145">
    <cfRule type="expression" dxfId="83" priority="106">
      <formula>IF($L134="I",TRUE,FALSE)</formula>
    </cfRule>
    <cfRule type="expression" dxfId="82" priority="107">
      <formula>IF($L134="T",TRUE,FALSE)</formula>
    </cfRule>
  </conditionalFormatting>
  <conditionalFormatting sqref="D137:D139">
    <cfRule type="expression" dxfId="81" priority="102">
      <formula>IF($L137="I",TRUE,FALSE)</formula>
    </cfRule>
    <cfRule type="expression" dxfId="80" priority="103">
      <formula>IF($L137="T",TRUE,FALSE)</formula>
    </cfRule>
  </conditionalFormatting>
  <conditionalFormatting sqref="E143">
    <cfRule type="expression" dxfId="79" priority="96">
      <formula>IF($L143="I",TRUE,FALSE)</formula>
    </cfRule>
    <cfRule type="expression" dxfId="78" priority="97">
      <formula>IF($L143="T",TRUE,FALSE)</formula>
    </cfRule>
  </conditionalFormatting>
  <conditionalFormatting sqref="E144">
    <cfRule type="expression" dxfId="77" priority="94">
      <formula>IF($L144="I",TRUE,FALSE)</formula>
    </cfRule>
    <cfRule type="expression" dxfId="76" priority="95">
      <formula>IF($L144="T",TRUE,FALSE)</formula>
    </cfRule>
  </conditionalFormatting>
  <conditionalFormatting sqref="J140">
    <cfRule type="expression" dxfId="75" priority="91" stopIfTrue="1">
      <formula>OR(Nível="Meta",Nível="Nível")</formula>
    </cfRule>
  </conditionalFormatting>
  <conditionalFormatting sqref="J142">
    <cfRule type="expression" dxfId="74" priority="90" stopIfTrue="1">
      <formula>OR(Nível="Meta",Nível="Nível")</formula>
    </cfRule>
  </conditionalFormatting>
  <conditionalFormatting sqref="J147">
    <cfRule type="expression" dxfId="73" priority="89" stopIfTrue="1">
      <formula>OR(Nível="Meta",Nível="Nível")</formula>
    </cfRule>
  </conditionalFormatting>
  <conditionalFormatting sqref="J149">
    <cfRule type="expression" dxfId="72" priority="88" stopIfTrue="1">
      <formula>OR(Nível="Meta",Nível="Nível")</formula>
    </cfRule>
  </conditionalFormatting>
  <conditionalFormatting sqref="C134">
    <cfRule type="expression" dxfId="71" priority="74">
      <formula>IF($L134="I",TRUE,FALSE)</formula>
    </cfRule>
    <cfRule type="expression" dxfId="70" priority="75">
      <formula>IF($L134="T",TRUE,FALSE)</formula>
    </cfRule>
  </conditionalFormatting>
  <conditionalFormatting sqref="C137:C139">
    <cfRule type="expression" dxfId="69" priority="70">
      <formula>IF($L137="I",TRUE,FALSE)</formula>
    </cfRule>
    <cfRule type="expression" dxfId="68" priority="71">
      <formula>IF($L137="T",TRUE,FALSE)</formula>
    </cfRule>
  </conditionalFormatting>
  <conditionalFormatting sqref="B134">
    <cfRule type="expression" dxfId="67" priority="68">
      <formula>IF($L134="I",TRUE,FALSE)</formula>
    </cfRule>
    <cfRule type="expression" dxfId="66" priority="69">
      <formula>IF($L134="T",TRUE,FALSE)</formula>
    </cfRule>
  </conditionalFormatting>
  <conditionalFormatting sqref="B134:B136">
    <cfRule type="expression" dxfId="65" priority="67">
      <formula>IF($L134="I",TRUE,FALSE)</formula>
    </cfRule>
  </conditionalFormatting>
  <conditionalFormatting sqref="B137:B139">
    <cfRule type="expression" dxfId="64" priority="62">
      <formula>IF($L137="I",TRUE,FALSE)</formula>
    </cfRule>
    <cfRule type="expression" dxfId="63" priority="63">
      <formula>IF($L137="T",TRUE,FALSE)</formula>
    </cfRule>
  </conditionalFormatting>
  <conditionalFormatting sqref="B137:B139">
    <cfRule type="expression" dxfId="62" priority="61">
      <formula>IF($L137="I",TRUE,FALSE)</formula>
    </cfRule>
  </conditionalFormatting>
  <conditionalFormatting sqref="B141">
    <cfRule type="expression" dxfId="61" priority="50">
      <formula>IF($L141="I",TRUE,FALSE)</formula>
    </cfRule>
    <cfRule type="expression" dxfId="60" priority="51">
      <formula>IF($L141="T",TRUE,FALSE)</formula>
    </cfRule>
  </conditionalFormatting>
  <conditionalFormatting sqref="B141">
    <cfRule type="expression" dxfId="59" priority="49">
      <formula>IF($L141="I",TRUE,FALSE)</formula>
    </cfRule>
  </conditionalFormatting>
  <conditionalFormatting sqref="J152">
    <cfRule type="expression" dxfId="58" priority="44" stopIfTrue="1">
      <formula>OR(Nível="Meta",Nível="Nível")</formula>
    </cfRule>
  </conditionalFormatting>
  <conditionalFormatting sqref="F154:G159 F161:G161 F163:G166 F171:G171">
    <cfRule type="expression" dxfId="57" priority="43" stopIfTrue="1">
      <formula>OR(Nível="Meta",Nível="Nível")</formula>
    </cfRule>
  </conditionalFormatting>
  <conditionalFormatting sqref="D154 B155:D156 E165">
    <cfRule type="expression" dxfId="56" priority="41">
      <formula>IF($L154="I",TRUE,FALSE)</formula>
    </cfRule>
    <cfRule type="expression" dxfId="55" priority="42">
      <formula>IF($L154="T",TRUE,FALSE)</formula>
    </cfRule>
  </conditionalFormatting>
  <conditionalFormatting sqref="D157:D159">
    <cfRule type="expression" dxfId="54" priority="39">
      <formula>IF($L157="I",TRUE,FALSE)</formula>
    </cfRule>
    <cfRule type="expression" dxfId="53" priority="40">
      <formula>IF($L157="T",TRUE,FALSE)</formula>
    </cfRule>
  </conditionalFormatting>
  <conditionalFormatting sqref="E163">
    <cfRule type="expression" dxfId="52" priority="37">
      <formula>IF($L163="I",TRUE,FALSE)</formula>
    </cfRule>
    <cfRule type="expression" dxfId="51" priority="38">
      <formula>IF($L163="T",TRUE,FALSE)</formula>
    </cfRule>
  </conditionalFormatting>
  <conditionalFormatting sqref="E164">
    <cfRule type="expression" dxfId="50" priority="35">
      <formula>IF($L164="I",TRUE,FALSE)</formula>
    </cfRule>
    <cfRule type="expression" dxfId="49" priority="36">
      <formula>IF($L164="T",TRUE,FALSE)</formula>
    </cfRule>
  </conditionalFormatting>
  <conditionalFormatting sqref="C154">
    <cfRule type="expression" dxfId="48" priority="33">
      <formula>IF($L154="I",TRUE,FALSE)</formula>
    </cfRule>
    <cfRule type="expression" dxfId="47" priority="34">
      <formula>IF($L154="T",TRUE,FALSE)</formula>
    </cfRule>
  </conditionalFormatting>
  <conditionalFormatting sqref="C157:C159">
    <cfRule type="expression" dxfId="46" priority="31">
      <formula>IF($L157="I",TRUE,FALSE)</formula>
    </cfRule>
    <cfRule type="expression" dxfId="45" priority="32">
      <formula>IF($L157="T",TRUE,FALSE)</formula>
    </cfRule>
  </conditionalFormatting>
  <conditionalFormatting sqref="B154">
    <cfRule type="expression" dxfId="44" priority="29">
      <formula>IF($L154="I",TRUE,FALSE)</formula>
    </cfRule>
    <cfRule type="expression" dxfId="43" priority="30">
      <formula>IF($L154="T",TRUE,FALSE)</formula>
    </cfRule>
  </conditionalFormatting>
  <conditionalFormatting sqref="B154:B156">
    <cfRule type="expression" dxfId="42" priority="28">
      <formula>IF($L154="I",TRUE,FALSE)</formula>
    </cfRule>
  </conditionalFormatting>
  <conditionalFormatting sqref="B157:B159">
    <cfRule type="expression" dxfId="41" priority="26">
      <formula>IF($L157="I",TRUE,FALSE)</formula>
    </cfRule>
    <cfRule type="expression" dxfId="40" priority="27">
      <formula>IF($L157="T",TRUE,FALSE)</formula>
    </cfRule>
  </conditionalFormatting>
  <conditionalFormatting sqref="B157:B159">
    <cfRule type="expression" dxfId="39" priority="25">
      <formula>IF($L157="I",TRUE,FALSE)</formula>
    </cfRule>
  </conditionalFormatting>
  <conditionalFormatting sqref="B161">
    <cfRule type="expression" dxfId="38" priority="23">
      <formula>IF($L161="I",TRUE,FALSE)</formula>
    </cfRule>
    <cfRule type="expression" dxfId="37" priority="24">
      <formula>IF($L161="T",TRUE,FALSE)</formula>
    </cfRule>
  </conditionalFormatting>
  <conditionalFormatting sqref="B161">
    <cfRule type="expression" dxfId="36" priority="22">
      <formula>IF($L161="I",TRUE,FALSE)</formula>
    </cfRule>
  </conditionalFormatting>
  <conditionalFormatting sqref="F168:G168">
    <cfRule type="expression" dxfId="35" priority="21" stopIfTrue="1">
      <formula>OR(Nível="Meta",Nível="Nível")</formula>
    </cfRule>
  </conditionalFormatting>
  <conditionalFormatting sqref="D168">
    <cfRule type="expression" dxfId="34" priority="19">
      <formula>IF($L168="I",TRUE,FALSE)</formula>
    </cfRule>
    <cfRule type="expression" dxfId="33" priority="20">
      <formula>IF($L168="T",TRUE,FALSE)</formula>
    </cfRule>
  </conditionalFormatting>
  <conditionalFormatting sqref="C168">
    <cfRule type="expression" dxfId="32" priority="17">
      <formula>IF($L168="I",TRUE,FALSE)</formula>
    </cfRule>
    <cfRule type="expression" dxfId="31" priority="18">
      <formula>IF($L168="T",TRUE,FALSE)</formula>
    </cfRule>
  </conditionalFormatting>
  <conditionalFormatting sqref="B168">
    <cfRule type="expression" dxfId="30" priority="15">
      <formula>IF($L168="I",TRUE,FALSE)</formula>
    </cfRule>
    <cfRule type="expression" dxfId="29" priority="16">
      <formula>IF($L168="T",TRUE,FALSE)</formula>
    </cfRule>
  </conditionalFormatting>
  <conditionalFormatting sqref="B168">
    <cfRule type="expression" dxfId="28" priority="14">
      <formula>IF($L168="I",TRUE,FALSE)</formula>
    </cfRule>
  </conditionalFormatting>
  <conditionalFormatting sqref="F169:G169">
    <cfRule type="expression" dxfId="27" priority="13" stopIfTrue="1">
      <formula>OR(Nível="Meta",Nível="Nível")</formula>
    </cfRule>
  </conditionalFormatting>
  <conditionalFormatting sqref="F130:G130">
    <cfRule type="expression" dxfId="26" priority="12" stopIfTrue="1">
      <formula>OR(Nível="Meta",Nível="Nível")</formula>
    </cfRule>
  </conditionalFormatting>
  <conditionalFormatting sqref="F121">
    <cfRule type="expression" dxfId="25" priority="11" stopIfTrue="1">
      <formula>OR(Nível="Meta",Nível="Nível")</formula>
    </cfRule>
  </conditionalFormatting>
  <conditionalFormatting sqref="G121">
    <cfRule type="expression" dxfId="24" priority="10" stopIfTrue="1">
      <formula>OR(Nível="Meta",Nível="Nível")</formula>
    </cfRule>
  </conditionalFormatting>
  <conditionalFormatting sqref="F122:G122">
    <cfRule type="expression" dxfId="23" priority="9" stopIfTrue="1">
      <formula>OR(Nível="Meta",Nível="Nível")</formula>
    </cfRule>
  </conditionalFormatting>
  <conditionalFormatting sqref="J122">
    <cfRule type="expression" dxfId="22" priority="8" stopIfTrue="1">
      <formula>OR(Nível="Meta",Nível="Nível")</formula>
    </cfRule>
  </conditionalFormatting>
  <conditionalFormatting sqref="F173:G173">
    <cfRule type="expression" dxfId="21" priority="7" stopIfTrue="1">
      <formula>OR(Nível="Meta",Nível="Nível")</formula>
    </cfRule>
  </conditionalFormatting>
  <conditionalFormatting sqref="F131:G131">
    <cfRule type="expression" dxfId="20" priority="6" stopIfTrue="1">
      <formula>OR(Nível="Meta",Nível="Nível")</formula>
    </cfRule>
  </conditionalFormatting>
  <conditionalFormatting sqref="F175:G175">
    <cfRule type="expression" dxfId="19" priority="3" stopIfTrue="1">
      <formula>OR(Nível="Meta",Nível="Nível")</formula>
    </cfRule>
  </conditionalFormatting>
  <conditionalFormatting sqref="F176:G176">
    <cfRule type="expression" dxfId="18" priority="2" stopIfTrue="1">
      <formula>OR(Nível="Meta",Nível="Nível")</formula>
    </cfRule>
  </conditionalFormatting>
  <conditionalFormatting sqref="F177:G177">
    <cfRule type="expression" dxfId="17" priority="1" stopIfTrue="1">
      <formula>OR(Nível="Meta",Nível="Nível")</formula>
    </cfRule>
  </conditionalFormatting>
  <dataValidations count="1">
    <dataValidation type="list" allowBlank="1" showInputMessage="1" showErrorMessage="1" sqref="J11:J112 J132:J152 J115:J128">
      <formula1>OFFSET(TituloEventos,0,0,,1)</formula1>
    </dataValidation>
  </dataValidations>
  <pageMargins left="0.31496062992125984" right="0.31496062992125984" top="0.39370078740157483" bottom="0.39370078740157483" header="0.31496062992125984" footer="0.31496062992125984"/>
  <pageSetup paperSize="9" scale="60" fitToHeight="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5"/>
  <sheetViews>
    <sheetView workbookViewId="0">
      <selection activeCell="I35" sqref="I35"/>
    </sheetView>
  </sheetViews>
  <sheetFormatPr defaultRowHeight="15" x14ac:dyDescent="0.25"/>
  <cols>
    <col min="2" max="2" width="55.5703125" customWidth="1"/>
    <col min="5" max="5" width="64.7109375" customWidth="1"/>
  </cols>
  <sheetData>
    <row r="2" spans="2:5" x14ac:dyDescent="0.25">
      <c r="B2" s="153" t="s">
        <v>267</v>
      </c>
      <c r="C2" s="154"/>
      <c r="D2" s="154"/>
      <c r="E2" s="154"/>
    </row>
    <row r="3" spans="2:5" ht="36" customHeight="1" x14ac:dyDescent="0.25">
      <c r="B3" s="1" t="s">
        <v>256</v>
      </c>
      <c r="C3" s="29" t="s">
        <v>255</v>
      </c>
      <c r="D3" s="27">
        <f>14.1*0.2*0.3</f>
        <v>0.84600000000000009</v>
      </c>
      <c r="E3" s="1" t="s">
        <v>296</v>
      </c>
    </row>
    <row r="4" spans="2:5" ht="35.25" customHeight="1" x14ac:dyDescent="0.25">
      <c r="B4" s="31" t="s">
        <v>257</v>
      </c>
      <c r="C4" s="29" t="s">
        <v>255</v>
      </c>
      <c r="D4" s="27">
        <f>D3</f>
        <v>0.84600000000000009</v>
      </c>
      <c r="E4" s="1" t="s">
        <v>297</v>
      </c>
    </row>
    <row r="5" spans="2:5" ht="37.5" customHeight="1" x14ac:dyDescent="0.25">
      <c r="B5" s="1" t="s">
        <v>258</v>
      </c>
      <c r="C5" s="29" t="s">
        <v>255</v>
      </c>
      <c r="D5" s="27">
        <f>D4</f>
        <v>0.84600000000000009</v>
      </c>
      <c r="E5" s="1" t="s">
        <v>297</v>
      </c>
    </row>
    <row r="6" spans="2:5" ht="21.75" customHeight="1" x14ac:dyDescent="0.25">
      <c r="B6" s="31" t="s">
        <v>259</v>
      </c>
      <c r="C6" s="29" t="s">
        <v>260</v>
      </c>
      <c r="D6" s="27">
        <f>14.1*2*0.3</f>
        <v>8.4599999999999991</v>
      </c>
      <c r="E6" s="32" t="s">
        <v>298</v>
      </c>
    </row>
    <row r="7" spans="2:5" ht="21.75" customHeight="1" x14ac:dyDescent="0.25">
      <c r="B7" s="31" t="s">
        <v>261</v>
      </c>
      <c r="C7" s="29" t="s">
        <v>262</v>
      </c>
      <c r="D7" s="27">
        <f>D5*100</f>
        <v>84.600000000000009</v>
      </c>
      <c r="E7" s="32" t="s">
        <v>299</v>
      </c>
    </row>
    <row r="8" spans="2:5" ht="21.75" customHeight="1" x14ac:dyDescent="0.25">
      <c r="B8" s="31" t="str">
        <f>'[4]desonerado-181'!$B$669</f>
        <v>Broca em concreto armado diâmetro de 20 cm - completa</v>
      </c>
      <c r="C8" s="29" t="s">
        <v>179</v>
      </c>
      <c r="D8" s="27">
        <v>8</v>
      </c>
      <c r="E8" s="32" t="s">
        <v>300</v>
      </c>
    </row>
    <row r="9" spans="2:5" ht="21.75" customHeight="1" x14ac:dyDescent="0.25">
      <c r="B9" s="153" t="s">
        <v>302</v>
      </c>
      <c r="C9" s="154"/>
      <c r="D9" s="154"/>
      <c r="E9" s="154"/>
    </row>
    <row r="10" spans="2:5" ht="46.5" customHeight="1" x14ac:dyDescent="0.25">
      <c r="B10" s="4" t="s">
        <v>263</v>
      </c>
      <c r="C10" s="27" t="s">
        <v>135</v>
      </c>
      <c r="D10" s="27">
        <f>(14.1*0.15*0.2)+(0.2*0.2*0.3*8)</f>
        <v>0.51900000000000002</v>
      </c>
      <c r="E10" s="32" t="s">
        <v>303</v>
      </c>
    </row>
    <row r="11" spans="2:5" ht="21.75" customHeight="1" x14ac:dyDescent="0.25">
      <c r="B11" s="153" t="s">
        <v>268</v>
      </c>
      <c r="C11" s="154"/>
      <c r="D11" s="154"/>
      <c r="E11" s="154"/>
    </row>
    <row r="12" spans="2:5" ht="31.5" customHeight="1" x14ac:dyDescent="0.25">
      <c r="B12" s="1" t="s">
        <v>264</v>
      </c>
      <c r="C12" s="27" t="s">
        <v>136</v>
      </c>
      <c r="D12" s="27">
        <f>(6*0.3*2)+(2.1*0.6)</f>
        <v>4.8599999999999994</v>
      </c>
      <c r="E12" s="32" t="s">
        <v>308</v>
      </c>
    </row>
    <row r="13" spans="2:5" ht="21.75" customHeight="1" x14ac:dyDescent="0.25">
      <c r="B13" s="4" t="s">
        <v>265</v>
      </c>
      <c r="C13" s="30" t="s">
        <v>260</v>
      </c>
      <c r="D13" s="27">
        <f>6*0.3*2</f>
        <v>3.5999999999999996</v>
      </c>
      <c r="E13" s="32" t="s">
        <v>309</v>
      </c>
    </row>
    <row r="14" spans="2:5" ht="21.75" customHeight="1" x14ac:dyDescent="0.25">
      <c r="B14" s="4" t="s">
        <v>307</v>
      </c>
      <c r="C14" s="30" t="s">
        <v>260</v>
      </c>
      <c r="D14" s="27">
        <f>6*0.3*2</f>
        <v>3.5999999999999996</v>
      </c>
      <c r="E14" s="32" t="s">
        <v>309</v>
      </c>
    </row>
    <row r="15" spans="2:5" ht="21.75" customHeight="1" x14ac:dyDescent="0.25">
      <c r="B15" s="31" t="s">
        <v>266</v>
      </c>
      <c r="C15" s="27" t="s">
        <v>136</v>
      </c>
      <c r="D15" s="27">
        <f>6*0.3*2</f>
        <v>3.5999999999999996</v>
      </c>
      <c r="E15" s="32" t="s">
        <v>309</v>
      </c>
    </row>
    <row r="16" spans="2:5" ht="21.75" customHeight="1" x14ac:dyDescent="0.25">
      <c r="B16" s="153" t="s">
        <v>272</v>
      </c>
      <c r="C16" s="154"/>
      <c r="D16" s="154"/>
      <c r="E16" s="154"/>
    </row>
    <row r="17" spans="2:5" ht="52.5" customHeight="1" x14ac:dyDescent="0.25">
      <c r="B17" s="1" t="s">
        <v>310</v>
      </c>
      <c r="C17" s="10" t="s">
        <v>255</v>
      </c>
      <c r="D17" s="102">
        <f>4*2.25*0.18*0.3</f>
        <v>0.48599999999999993</v>
      </c>
      <c r="E17" s="32" t="s">
        <v>311</v>
      </c>
    </row>
    <row r="18" spans="2:5" ht="21.75" customHeight="1" x14ac:dyDescent="0.25">
      <c r="B18" s="33" t="s">
        <v>274</v>
      </c>
      <c r="C18" s="155"/>
      <c r="D18" s="155"/>
      <c r="E18" s="27"/>
    </row>
    <row r="19" spans="2:5" ht="34.5" customHeight="1" x14ac:dyDescent="0.25">
      <c r="B19" s="1" t="s">
        <v>312</v>
      </c>
      <c r="C19" s="10" t="s">
        <v>179</v>
      </c>
      <c r="D19" s="102">
        <v>32.200000000000003</v>
      </c>
      <c r="E19" s="27" t="s">
        <v>330</v>
      </c>
    </row>
    <row r="20" spans="2:5" ht="37.5" customHeight="1" x14ac:dyDescent="0.25">
      <c r="B20" s="1" t="s">
        <v>313</v>
      </c>
      <c r="C20" s="2" t="s">
        <v>179</v>
      </c>
      <c r="D20" s="102">
        <v>12.35</v>
      </c>
      <c r="E20" s="27"/>
    </row>
    <row r="21" spans="2:5" ht="21.75" customHeight="1" x14ac:dyDescent="0.25">
      <c r="B21" s="33" t="s">
        <v>315</v>
      </c>
      <c r="C21" s="155"/>
      <c r="D21" s="155"/>
      <c r="E21" s="28"/>
    </row>
    <row r="22" spans="2:5" ht="21.75" customHeight="1" x14ac:dyDescent="0.25">
      <c r="B22" s="33" t="s">
        <v>269</v>
      </c>
      <c r="C22" s="155"/>
      <c r="D22" s="155"/>
      <c r="E22" s="28"/>
    </row>
    <row r="23" spans="2:5" ht="45" x14ac:dyDescent="0.25">
      <c r="B23" s="1" t="s">
        <v>291</v>
      </c>
      <c r="C23" s="29" t="s">
        <v>255</v>
      </c>
      <c r="D23" s="102">
        <f>12.65*0.2*0.3</f>
        <v>0.75900000000000001</v>
      </c>
      <c r="E23" s="27" t="s">
        <v>331</v>
      </c>
    </row>
    <row r="24" spans="2:5" ht="36" x14ac:dyDescent="0.25">
      <c r="B24" s="31" t="s">
        <v>292</v>
      </c>
      <c r="C24" s="29" t="s">
        <v>255</v>
      </c>
      <c r="D24" s="102">
        <f>D23</f>
        <v>0.75900000000000001</v>
      </c>
      <c r="E24" s="27" t="s">
        <v>331</v>
      </c>
    </row>
    <row r="25" spans="2:5" ht="30" x14ac:dyDescent="0.25">
      <c r="B25" s="1" t="s">
        <v>293</v>
      </c>
      <c r="C25" s="29" t="s">
        <v>255</v>
      </c>
      <c r="D25" s="102">
        <f>D23</f>
        <v>0.75900000000000001</v>
      </c>
      <c r="E25" s="27" t="s">
        <v>331</v>
      </c>
    </row>
    <row r="26" spans="2:5" ht="36" x14ac:dyDescent="0.25">
      <c r="B26" s="31" t="s">
        <v>294</v>
      </c>
      <c r="C26" s="29" t="s">
        <v>260</v>
      </c>
      <c r="D26" s="102">
        <f>12.65*2*0.3</f>
        <v>7.59</v>
      </c>
      <c r="E26" s="27" t="s">
        <v>332</v>
      </c>
    </row>
    <row r="27" spans="2:5" ht="15.75" x14ac:dyDescent="0.25">
      <c r="B27" s="31" t="s">
        <v>261</v>
      </c>
      <c r="C27" s="29" t="s">
        <v>262</v>
      </c>
      <c r="D27" s="102">
        <f>D24*100</f>
        <v>75.900000000000006</v>
      </c>
      <c r="E27" s="27" t="s">
        <v>301</v>
      </c>
    </row>
    <row r="28" spans="2:5" ht="36" x14ac:dyDescent="0.25">
      <c r="B28" s="31" t="s">
        <v>295</v>
      </c>
      <c r="C28" s="29" t="s">
        <v>179</v>
      </c>
      <c r="D28" s="102">
        <f>6*1.5</f>
        <v>9</v>
      </c>
      <c r="E28" s="27" t="s">
        <v>333</v>
      </c>
    </row>
    <row r="29" spans="2:5" x14ac:dyDescent="0.25">
      <c r="B29" s="33" t="s">
        <v>270</v>
      </c>
      <c r="C29" s="155"/>
      <c r="D29" s="155"/>
      <c r="E29" s="28"/>
    </row>
    <row r="30" spans="2:5" ht="15.75" x14ac:dyDescent="0.25">
      <c r="B30" s="4" t="s">
        <v>263</v>
      </c>
      <c r="C30" s="29" t="s">
        <v>255</v>
      </c>
      <c r="D30" s="102">
        <f>(12.65*0.2*0.15)+(2.2*0.3*0.15*6)</f>
        <v>0.97350000000000003</v>
      </c>
      <c r="E30" s="27" t="s">
        <v>334</v>
      </c>
    </row>
    <row r="31" spans="2:5" x14ac:dyDescent="0.25">
      <c r="B31" s="33" t="s">
        <v>271</v>
      </c>
      <c r="C31" s="155"/>
      <c r="D31" s="155"/>
      <c r="E31" s="28"/>
    </row>
    <row r="32" spans="2:5" ht="60" x14ac:dyDescent="0.25">
      <c r="B32" s="1" t="s">
        <v>304</v>
      </c>
      <c r="C32" s="30" t="s">
        <v>260</v>
      </c>
      <c r="D32" s="102">
        <f>12.65*2.2</f>
        <v>27.830000000000002</v>
      </c>
      <c r="E32" s="27" t="s">
        <v>335</v>
      </c>
    </row>
    <row r="33" spans="2:5" ht="60" x14ac:dyDescent="0.25">
      <c r="B33" s="1" t="s">
        <v>14</v>
      </c>
      <c r="C33" s="30" t="s">
        <v>260</v>
      </c>
      <c r="D33" s="102">
        <f>D32*2</f>
        <v>55.660000000000004</v>
      </c>
      <c r="E33" s="27" t="s">
        <v>336</v>
      </c>
    </row>
    <row r="34" spans="2:5" ht="75" x14ac:dyDescent="0.25">
      <c r="B34" s="1" t="s">
        <v>15</v>
      </c>
      <c r="C34" s="30" t="s">
        <v>260</v>
      </c>
      <c r="D34" s="102">
        <f>D33</f>
        <v>55.660000000000004</v>
      </c>
      <c r="E34" s="27" t="s">
        <v>336</v>
      </c>
    </row>
    <row r="35" spans="2:5" ht="24" x14ac:dyDescent="0.25">
      <c r="B35" s="31" t="s">
        <v>306</v>
      </c>
      <c r="C35" s="3" t="s">
        <v>260</v>
      </c>
      <c r="D35" s="102">
        <f>D34</f>
        <v>55.660000000000004</v>
      </c>
      <c r="E35" s="27" t="s">
        <v>336</v>
      </c>
    </row>
  </sheetData>
  <conditionalFormatting sqref="B3">
    <cfRule type="expression" dxfId="16" priority="23">
      <formula>IF($M3="I",TRUE,FALSE)</formula>
    </cfRule>
  </conditionalFormatting>
  <conditionalFormatting sqref="B4:B5 C14">
    <cfRule type="expression" dxfId="15" priority="21">
      <formula>IF($M4="I",TRUE,FALSE)</formula>
    </cfRule>
    <cfRule type="expression" dxfId="14" priority="22">
      <formula>IF($M4="T",TRUE,FALSE)</formula>
    </cfRule>
  </conditionalFormatting>
  <conditionalFormatting sqref="B6:B8">
    <cfRule type="expression" dxfId="13" priority="19">
      <formula>IF($M6="I",TRUE,FALSE)</formula>
    </cfRule>
    <cfRule type="expression" dxfId="12" priority="20">
      <formula>IF($M6="T",TRUE,FALSE)</formula>
    </cfRule>
  </conditionalFormatting>
  <conditionalFormatting sqref="C13">
    <cfRule type="expression" dxfId="11" priority="13">
      <formula>IF($M13="I",TRUE,FALSE)</formula>
    </cfRule>
    <cfRule type="expression" dxfId="10" priority="14">
      <formula>IF($M13="T",TRUE,FALSE)</formula>
    </cfRule>
  </conditionalFormatting>
  <conditionalFormatting sqref="D17 D19:D20">
    <cfRule type="expression" dxfId="9" priority="10" stopIfTrue="1">
      <formula>OR(Nível="Meta",Nível="Nível")</formula>
    </cfRule>
  </conditionalFormatting>
  <conditionalFormatting sqref="D23:D28 D30 D32:D35">
    <cfRule type="expression" dxfId="8" priority="9" stopIfTrue="1">
      <formula>OR(Nível="Meta",Nível="Nível")</formula>
    </cfRule>
  </conditionalFormatting>
  <conditionalFormatting sqref="B23:B25 C34">
    <cfRule type="expression" dxfId="7" priority="7">
      <formula>IF($L23="I",TRUE,FALSE)</formula>
    </cfRule>
    <cfRule type="expression" dxfId="6" priority="8">
      <formula>IF($L23="T",TRUE,FALSE)</formula>
    </cfRule>
  </conditionalFormatting>
  <conditionalFormatting sqref="B26:B28">
    <cfRule type="expression" dxfId="5" priority="5">
      <formula>IF($L26="I",TRUE,FALSE)</formula>
    </cfRule>
    <cfRule type="expression" dxfId="4" priority="6">
      <formula>IF($L26="T",TRUE,FALSE)</formula>
    </cfRule>
  </conditionalFormatting>
  <conditionalFormatting sqref="C32">
    <cfRule type="expression" dxfId="3" priority="3">
      <formula>IF($L32="I",TRUE,FALSE)</formula>
    </cfRule>
    <cfRule type="expression" dxfId="2" priority="4">
      <formula>IF($L32="T",TRUE,FALSE)</formula>
    </cfRule>
  </conditionalFormatting>
  <conditionalFormatting sqref="C33">
    <cfRule type="expression" dxfId="1" priority="1">
      <formula>IF($L33="I",TRUE,FALSE)</formula>
    </cfRule>
    <cfRule type="expression" dxfId="0" priority="2">
      <formula>IF($L33="T",TRUE,FALSE)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CRONOGRAMA</vt:lpstr>
      <vt:lpstr>Plan3 - ATUALIZADA</vt:lpstr>
      <vt:lpstr>MEMORIA CALCULO SERVIÇOS EXTRAS</vt:lpstr>
      <vt:lpstr>CRONOGRAMA!Area_de_impressao</vt:lpstr>
      <vt:lpstr>'Plan3 - ATUALIZADA'!Area_de_impressao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</dc:creator>
  <cp:lastModifiedBy>Cibele Aparecida Vieira</cp:lastModifiedBy>
  <cp:lastPrinted>2024-04-22T13:11:03Z</cp:lastPrinted>
  <dcterms:created xsi:type="dcterms:W3CDTF">2023-11-24T16:02:11Z</dcterms:created>
  <dcterms:modified xsi:type="dcterms:W3CDTF">2024-05-10T12:55:33Z</dcterms:modified>
</cp:coreProperties>
</file>