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4\Saúde\Pregão 48-2024 - Reforma do Posto de Saúde Santa Maria - 1Doc 7629-2024\"/>
    </mc:Choice>
  </mc:AlternateContent>
  <bookViews>
    <workbookView xWindow="0" yWindow="0" windowWidth="24000" windowHeight="9735" activeTab="2"/>
  </bookViews>
  <sheets>
    <sheet name="cronograma" sheetId="10" r:id="rId1"/>
    <sheet name="Planilha1" sheetId="1" r:id="rId2"/>
    <sheet name="memória de cálculo" sheetId="8" r:id="rId3"/>
    <sheet name="memória cálculo pintura" sheetId="9" r:id="rId4"/>
  </sheets>
  <externalReferences>
    <externalReference r:id="rId5"/>
  </externalReferences>
  <definedNames>
    <definedName name="_xlnm.Print_Area" localSheetId="0">cronograma!$A$1:$F$39</definedName>
    <definedName name="_xlnm.Print_Area" localSheetId="2">'memória de cálculo'!$A$1:$E$118</definedName>
    <definedName name="_xlnm.Print_Area" localSheetId="1">Planilha1!$A$1:$I$139</definedName>
    <definedName name="brasao">INDEX([1]INFO!$B$47:$D$76,[1]INFO!$F$47,3)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8" l="1"/>
  <c r="I15" i="1" l="1"/>
  <c r="F27" i="1"/>
  <c r="H27" i="1"/>
  <c r="I27" i="1" l="1"/>
  <c r="D50" i="8"/>
  <c r="D49" i="8"/>
  <c r="D43" i="8"/>
  <c r="F55" i="1" s="1"/>
  <c r="D42" i="8"/>
  <c r="F54" i="1" s="1"/>
  <c r="H55" i="1"/>
  <c r="H54" i="1"/>
  <c r="I54" i="1" l="1"/>
  <c r="I55" i="1"/>
  <c r="F26" i="1"/>
  <c r="F25" i="1"/>
  <c r="D14" i="8"/>
  <c r="H26" i="1"/>
  <c r="H25" i="1"/>
  <c r="I25" i="1" l="1"/>
  <c r="I26" i="1"/>
  <c r="F62" i="1"/>
  <c r="H62" i="1"/>
  <c r="I62" i="1" l="1"/>
  <c r="D117" i="8"/>
  <c r="F129" i="1" s="1"/>
  <c r="D116" i="8"/>
  <c r="F128" i="1" s="1"/>
  <c r="E99" i="9"/>
  <c r="D118" i="8"/>
  <c r="F130" i="1" s="1"/>
  <c r="D115" i="8"/>
  <c r="F127" i="1" s="1"/>
  <c r="C95" i="9"/>
  <c r="C93" i="9"/>
  <c r="C75" i="9"/>
  <c r="C86" i="9"/>
  <c r="C91" i="9"/>
  <c r="E91" i="9" s="1"/>
  <c r="C90" i="9"/>
  <c r="E90" i="9" s="1"/>
  <c r="C87" i="9"/>
  <c r="E87" i="9" s="1"/>
  <c r="C84" i="9"/>
  <c r="E84" i="9" s="1"/>
  <c r="C83" i="9"/>
  <c r="E83" i="9" s="1"/>
  <c r="C80" i="9"/>
  <c r="E80" i="9" s="1"/>
  <c r="C79" i="9"/>
  <c r="E79" i="9" s="1"/>
  <c r="C76" i="9"/>
  <c r="E76" i="9" s="1"/>
  <c r="C73" i="9"/>
  <c r="E73" i="9" s="1"/>
  <c r="C72" i="9"/>
  <c r="C70" i="9"/>
  <c r="E70" i="9" s="1"/>
  <c r="C69" i="9"/>
  <c r="E69" i="9" s="1"/>
  <c r="C66" i="9"/>
  <c r="E66" i="9" s="1"/>
  <c r="C65" i="9"/>
  <c r="E65" i="9" s="1"/>
  <c r="C62" i="9"/>
  <c r="C61" i="9"/>
  <c r="E62" i="9"/>
  <c r="E61" i="9"/>
  <c r="B8" i="9"/>
  <c r="E58" i="9"/>
  <c r="E57" i="9"/>
  <c r="F125" i="1"/>
  <c r="D12" i="8"/>
  <c r="F24" i="1" s="1"/>
  <c r="H24" i="1"/>
  <c r="D112" i="8"/>
  <c r="F124" i="1" s="1"/>
  <c r="D49" i="9"/>
  <c r="D48" i="9"/>
  <c r="D47" i="9"/>
  <c r="D46" i="9"/>
  <c r="D45" i="9"/>
  <c r="D44" i="9"/>
  <c r="D39" i="9"/>
  <c r="D38" i="9"/>
  <c r="D37" i="9"/>
  <c r="D32" i="9"/>
  <c r="D31" i="9"/>
  <c r="D30" i="9"/>
  <c r="D29" i="9"/>
  <c r="D28" i="9"/>
  <c r="D27" i="9"/>
  <c r="D26" i="9"/>
  <c r="D25" i="9"/>
  <c r="B19" i="9"/>
  <c r="B18" i="9"/>
  <c r="B17" i="9"/>
  <c r="B16" i="9"/>
  <c r="B12" i="9"/>
  <c r="B7" i="9"/>
  <c r="B21" i="9" s="1"/>
  <c r="B6" i="9"/>
  <c r="D110" i="8"/>
  <c r="F122" i="1" s="1"/>
  <c r="F116" i="1"/>
  <c r="F115" i="1"/>
  <c r="D106" i="8"/>
  <c r="F118" i="1" s="1"/>
  <c r="D105" i="8"/>
  <c r="F117" i="1" s="1"/>
  <c r="D101" i="8"/>
  <c r="D102" i="8" s="1"/>
  <c r="F114" i="1" s="1"/>
  <c r="D99" i="8"/>
  <c r="F111" i="1" s="1"/>
  <c r="D34" i="8"/>
  <c r="F46" i="1" s="1"/>
  <c r="D33" i="8"/>
  <c r="F45" i="1" s="1"/>
  <c r="D96" i="8"/>
  <c r="F108" i="1" s="1"/>
  <c r="D95" i="8"/>
  <c r="F107" i="1" s="1"/>
  <c r="D94" i="8"/>
  <c r="F106" i="1" s="1"/>
  <c r="D92" i="8"/>
  <c r="D93" i="8" s="1"/>
  <c r="F105" i="1" s="1"/>
  <c r="D90" i="8"/>
  <c r="F102" i="1" s="1"/>
  <c r="D89" i="8"/>
  <c r="F101" i="1" s="1"/>
  <c r="H102" i="1"/>
  <c r="H101" i="1"/>
  <c r="D87" i="8"/>
  <c r="F99" i="1" s="1"/>
  <c r="F97" i="1"/>
  <c r="F95" i="1"/>
  <c r="F94" i="1"/>
  <c r="D84" i="8"/>
  <c r="F96" i="1" s="1"/>
  <c r="D80" i="8"/>
  <c r="F92" i="1" s="1"/>
  <c r="D79" i="8"/>
  <c r="F91" i="1" s="1"/>
  <c r="D78" i="8"/>
  <c r="F90" i="1" s="1"/>
  <c r="D77" i="8"/>
  <c r="F89" i="1" s="1"/>
  <c r="D75" i="8"/>
  <c r="F87" i="1" s="1"/>
  <c r="D74" i="8"/>
  <c r="F86" i="1" s="1"/>
  <c r="D69" i="8"/>
  <c r="F81" i="1" s="1"/>
  <c r="D73" i="8"/>
  <c r="F85" i="1" s="1"/>
  <c r="D71" i="8"/>
  <c r="F83" i="1" s="1"/>
  <c r="D67" i="8"/>
  <c r="F79" i="1" s="1"/>
  <c r="D66" i="8"/>
  <c r="F78" i="1" s="1"/>
  <c r="D65" i="8"/>
  <c r="F77" i="1" s="1"/>
  <c r="D63" i="8"/>
  <c r="F75" i="1" s="1"/>
  <c r="D62" i="8"/>
  <c r="F74" i="1" s="1"/>
  <c r="D61" i="8"/>
  <c r="F73" i="1" s="1"/>
  <c r="D60" i="8"/>
  <c r="F70" i="1"/>
  <c r="F69" i="1"/>
  <c r="D56" i="8"/>
  <c r="F68" i="1" s="1"/>
  <c r="F66" i="1"/>
  <c r="D52" i="8"/>
  <c r="D53" i="8" s="1"/>
  <c r="F65" i="1" s="1"/>
  <c r="F60" i="1"/>
  <c r="F52" i="1"/>
  <c r="F50" i="1"/>
  <c r="F49" i="1"/>
  <c r="F47" i="1"/>
  <c r="F61" i="1"/>
  <c r="D47" i="8"/>
  <c r="F59" i="1" s="1"/>
  <c r="D46" i="8"/>
  <c r="F58" i="1" s="1"/>
  <c r="D44" i="8"/>
  <c r="F56" i="1" s="1"/>
  <c r="D39" i="8"/>
  <c r="F51" i="1" s="1"/>
  <c r="D32" i="8"/>
  <c r="F44" i="1" s="1"/>
  <c r="D31" i="8"/>
  <c r="F43" i="1" s="1"/>
  <c r="D30" i="8"/>
  <c r="F42" i="1" s="1"/>
  <c r="F40" i="1"/>
  <c r="F38" i="1"/>
  <c r="F37" i="1"/>
  <c r="F31" i="1"/>
  <c r="D27" i="8"/>
  <c r="F39" i="1" s="1"/>
  <c r="D23" i="8"/>
  <c r="F35" i="1" s="1"/>
  <c r="D22" i="8"/>
  <c r="F34" i="1" s="1"/>
  <c r="D21" i="8"/>
  <c r="F33" i="1" s="1"/>
  <c r="D18" i="8"/>
  <c r="F30" i="1" s="1"/>
  <c r="D17" i="8"/>
  <c r="F22" i="1"/>
  <c r="F19" i="1"/>
  <c r="F17" i="1"/>
  <c r="D9" i="8"/>
  <c r="F21" i="1" s="1"/>
  <c r="D6" i="8"/>
  <c r="D4" i="8"/>
  <c r="F16" i="1" s="1"/>
  <c r="D98" i="8" l="1"/>
  <c r="F110" i="1" s="1"/>
  <c r="F64" i="1"/>
  <c r="D88" i="8"/>
  <c r="F100" i="1" s="1"/>
  <c r="D111" i="8"/>
  <c r="F123" i="1" s="1"/>
  <c r="D45" i="8"/>
  <c r="F57" i="1" s="1"/>
  <c r="F113" i="1"/>
  <c r="D20" i="8"/>
  <c r="F32" i="1" s="1"/>
  <c r="D64" i="8"/>
  <c r="F76" i="1" s="1"/>
  <c r="D70" i="8"/>
  <c r="F82" i="1" s="1"/>
  <c r="F104" i="1"/>
  <c r="D8" i="8"/>
  <c r="F20" i="1" s="1"/>
  <c r="D72" i="8"/>
  <c r="F84" i="1" s="1"/>
  <c r="F72" i="1"/>
  <c r="D11" i="8"/>
  <c r="F23" i="1" s="1"/>
  <c r="I24" i="1"/>
  <c r="D50" i="9"/>
  <c r="D42" i="9" s="1"/>
  <c r="D35" i="9"/>
  <c r="D33" i="9"/>
  <c r="D23" i="9" s="1"/>
  <c r="I21" i="9" s="1"/>
  <c r="D108" i="8" s="1"/>
  <c r="I102" i="1"/>
  <c r="I101" i="1"/>
  <c r="F29" i="1"/>
  <c r="F18" i="1"/>
  <c r="D36" i="8"/>
  <c r="F48" i="1" s="1"/>
  <c r="D24" i="8"/>
  <c r="F36" i="1" s="1"/>
  <c r="H129" i="1"/>
  <c r="I129" i="1" s="1"/>
  <c r="H128" i="1"/>
  <c r="I128" i="1" s="1"/>
  <c r="H127" i="1"/>
  <c r="I127" i="1" s="1"/>
  <c r="H125" i="1"/>
  <c r="I125" i="1" s="1"/>
  <c r="H120" i="1"/>
  <c r="H130" i="1"/>
  <c r="I130" i="1" s="1"/>
  <c r="H124" i="1"/>
  <c r="I124" i="1" s="1"/>
  <c r="H123" i="1"/>
  <c r="H122" i="1"/>
  <c r="I122" i="1" s="1"/>
  <c r="H121" i="1"/>
  <c r="H118" i="1"/>
  <c r="I118" i="1" s="1"/>
  <c r="H114" i="1"/>
  <c r="I114" i="1" s="1"/>
  <c r="H117" i="1"/>
  <c r="I117" i="1" s="1"/>
  <c r="H116" i="1"/>
  <c r="I116" i="1" s="1"/>
  <c r="H115" i="1"/>
  <c r="I115" i="1" s="1"/>
  <c r="H113" i="1"/>
  <c r="H111" i="1"/>
  <c r="I111" i="1" s="1"/>
  <c r="H110" i="1"/>
  <c r="H108" i="1"/>
  <c r="I108" i="1" s="1"/>
  <c r="H107" i="1"/>
  <c r="I107" i="1" s="1"/>
  <c r="H106" i="1"/>
  <c r="I106" i="1" s="1"/>
  <c r="H105" i="1"/>
  <c r="I105" i="1" s="1"/>
  <c r="H104" i="1"/>
  <c r="H76" i="1"/>
  <c r="H77" i="1"/>
  <c r="I77" i="1" s="1"/>
  <c r="H79" i="1"/>
  <c r="I79" i="1" s="1"/>
  <c r="H78" i="1"/>
  <c r="I78" i="1" s="1"/>
  <c r="H100" i="1"/>
  <c r="H99" i="1"/>
  <c r="I99" i="1" s="1"/>
  <c r="H97" i="1"/>
  <c r="I97" i="1" s="1"/>
  <c r="H96" i="1"/>
  <c r="I96" i="1" s="1"/>
  <c r="H95" i="1"/>
  <c r="I95" i="1" s="1"/>
  <c r="H94" i="1"/>
  <c r="I94" i="1" s="1"/>
  <c r="H90" i="1"/>
  <c r="I90" i="1" s="1"/>
  <c r="H92" i="1"/>
  <c r="I92" i="1" s="1"/>
  <c r="H91" i="1"/>
  <c r="I91" i="1" s="1"/>
  <c r="H89" i="1"/>
  <c r="I89" i="1" s="1"/>
  <c r="H87" i="1"/>
  <c r="I87" i="1" s="1"/>
  <c r="H86" i="1"/>
  <c r="I86" i="1" s="1"/>
  <c r="H85" i="1"/>
  <c r="I85" i="1" s="1"/>
  <c r="H84" i="1"/>
  <c r="H83" i="1"/>
  <c r="I83" i="1" s="1"/>
  <c r="H82" i="1"/>
  <c r="H81" i="1"/>
  <c r="I81" i="1" s="1"/>
  <c r="H74" i="1"/>
  <c r="I74" i="1" s="1"/>
  <c r="H60" i="1"/>
  <c r="I60" i="1" s="1"/>
  <c r="H59" i="1"/>
  <c r="I59" i="1" s="1"/>
  <c r="H58" i="1"/>
  <c r="I58" i="1" s="1"/>
  <c r="H57" i="1"/>
  <c r="H56" i="1"/>
  <c r="I56" i="1" s="1"/>
  <c r="H72" i="1"/>
  <c r="H69" i="1"/>
  <c r="I69" i="1" s="1"/>
  <c r="H70" i="1"/>
  <c r="I70" i="1" s="1"/>
  <c r="H68" i="1"/>
  <c r="I68" i="1" s="1"/>
  <c r="H65" i="1"/>
  <c r="I65" i="1" s="1"/>
  <c r="H75" i="1"/>
  <c r="I75" i="1" s="1"/>
  <c r="H73" i="1"/>
  <c r="I73" i="1" s="1"/>
  <c r="H66" i="1"/>
  <c r="I66" i="1" s="1"/>
  <c r="H64" i="1"/>
  <c r="H61" i="1"/>
  <c r="I61" i="1" s="1"/>
  <c r="H47" i="1"/>
  <c r="I47" i="1" s="1"/>
  <c r="H46" i="1"/>
  <c r="I46" i="1" s="1"/>
  <c r="H45" i="1"/>
  <c r="I45" i="1" s="1"/>
  <c r="H52" i="1"/>
  <c r="I52" i="1" s="1"/>
  <c r="H51" i="1"/>
  <c r="I51" i="1" s="1"/>
  <c r="H50" i="1"/>
  <c r="I50" i="1" s="1"/>
  <c r="H49" i="1"/>
  <c r="I49" i="1" s="1"/>
  <c r="H48" i="1"/>
  <c r="H44" i="1"/>
  <c r="I44" i="1" s="1"/>
  <c r="H43" i="1"/>
  <c r="I43" i="1" s="1"/>
  <c r="H42" i="1"/>
  <c r="I42" i="1" s="1"/>
  <c r="H36" i="1"/>
  <c r="H35" i="1"/>
  <c r="I35" i="1" s="1"/>
  <c r="H34" i="1"/>
  <c r="I34" i="1" s="1"/>
  <c r="H33" i="1"/>
  <c r="I33" i="1" s="1"/>
  <c r="I57" i="1" l="1"/>
  <c r="I53" i="1" s="1"/>
  <c r="C18" i="10" s="1"/>
  <c r="F18" i="10" s="1"/>
  <c r="I64" i="1"/>
  <c r="I63" i="1" s="1"/>
  <c r="C19" i="10" s="1"/>
  <c r="E19" i="10" s="1"/>
  <c r="I72" i="1"/>
  <c r="I67" i="1" s="1"/>
  <c r="C20" i="10" s="1"/>
  <c r="E20" i="10" s="1"/>
  <c r="I82" i="1"/>
  <c r="I110" i="1"/>
  <c r="I109" i="1" s="1"/>
  <c r="C27" i="10" s="1"/>
  <c r="F27" i="10" s="1"/>
  <c r="I76" i="1"/>
  <c r="I100" i="1"/>
  <c r="I98" i="1" s="1"/>
  <c r="C25" i="10" s="1"/>
  <c r="D25" i="10" s="1"/>
  <c r="I113" i="1"/>
  <c r="I112" i="1" s="1"/>
  <c r="C28" i="10" s="1"/>
  <c r="E28" i="10" s="1"/>
  <c r="I123" i="1"/>
  <c r="I84" i="1"/>
  <c r="I104" i="1"/>
  <c r="I103" i="1" s="1"/>
  <c r="C26" i="10" s="1"/>
  <c r="D26" i="10" s="1"/>
  <c r="I126" i="1"/>
  <c r="C30" i="10" s="1"/>
  <c r="D109" i="8"/>
  <c r="F121" i="1" s="1"/>
  <c r="I121" i="1" s="1"/>
  <c r="F120" i="1"/>
  <c r="I120" i="1" s="1"/>
  <c r="I36" i="1"/>
  <c r="I93" i="1"/>
  <c r="C24" i="10" s="1"/>
  <c r="D24" i="10" s="1"/>
  <c r="I88" i="1"/>
  <c r="C23" i="10" s="1"/>
  <c r="D23" i="10" s="1"/>
  <c r="I48" i="1"/>
  <c r="I41" i="1" s="1"/>
  <c r="C17" i="10" s="1"/>
  <c r="E17" i="10" s="1"/>
  <c r="F30" i="10" l="1"/>
  <c r="I71" i="1"/>
  <c r="C21" i="10" s="1"/>
  <c r="E21" i="10" s="1"/>
  <c r="E31" i="10" s="1"/>
  <c r="I80" i="1"/>
  <c r="C22" i="10" s="1"/>
  <c r="D22" i="10" s="1"/>
  <c r="I119" i="1"/>
  <c r="C29" i="10" s="1"/>
  <c r="F29" i="10" s="1"/>
  <c r="F31" i="10" s="1"/>
  <c r="H39" i="1"/>
  <c r="I39" i="1" s="1"/>
  <c r="H37" i="1"/>
  <c r="I37" i="1" s="1"/>
  <c r="H31" i="1"/>
  <c r="I31" i="1" s="1"/>
  <c r="H30" i="1"/>
  <c r="I30" i="1" s="1"/>
  <c r="H32" i="1"/>
  <c r="H19" i="1"/>
  <c r="I19" i="1" s="1"/>
  <c r="H18" i="1"/>
  <c r="I18" i="1" s="1"/>
  <c r="H17" i="1"/>
  <c r="I17" i="1" s="1"/>
  <c r="H23" i="1"/>
  <c r="H40" i="1"/>
  <c r="H38" i="1"/>
  <c r="H29" i="1"/>
  <c r="H22" i="1"/>
  <c r="H21" i="1"/>
  <c r="H20" i="1"/>
  <c r="H16" i="1"/>
  <c r="I16" i="1" s="1"/>
  <c r="I21" i="1" l="1"/>
  <c r="I23" i="1"/>
  <c r="I40" i="1"/>
  <c r="I38" i="1"/>
  <c r="I32" i="1"/>
  <c r="I29" i="1"/>
  <c r="I28" i="1" s="1"/>
  <c r="C16" i="10" s="1"/>
  <c r="D16" i="10" s="1"/>
  <c r="I22" i="1"/>
  <c r="I20" i="1"/>
  <c r="C15" i="10" l="1"/>
  <c r="D15" i="10" s="1"/>
  <c r="D31" i="10" s="1"/>
  <c r="I131" i="1"/>
  <c r="C31" i="10" l="1"/>
</calcChain>
</file>

<file path=xl/sharedStrings.xml><?xml version="1.0" encoding="utf-8"?>
<sst xmlns="http://schemas.openxmlformats.org/spreadsheetml/2006/main" count="1054" uniqueCount="344">
  <si>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</si>
  <si>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</si>
  <si>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</si>
  <si>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</si>
  <si>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</si>
  <si>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</si>
  <si>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</si>
  <si>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</si>
  <si>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</si>
  <si>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</si>
  <si>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</si>
  <si>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</si>
  <si>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UNID.</t>
  </si>
  <si>
    <t>m2</t>
  </si>
  <si>
    <t>KG</t>
  </si>
  <si>
    <t>2.1</t>
  </si>
  <si>
    <t>2.2</t>
  </si>
  <si>
    <t>2.3</t>
  </si>
  <si>
    <t>2.4</t>
  </si>
  <si>
    <t>2.5</t>
  </si>
  <si>
    <t>2.6</t>
  </si>
  <si>
    <t>2.7</t>
  </si>
  <si>
    <t>M2</t>
  </si>
  <si>
    <t>M3</t>
  </si>
  <si>
    <t>3.</t>
  </si>
  <si>
    <t>3.1</t>
  </si>
  <si>
    <t>m</t>
  </si>
  <si>
    <t>3.2</t>
  </si>
  <si>
    <t>4.</t>
  </si>
  <si>
    <t>4.1</t>
  </si>
  <si>
    <t>4.2</t>
  </si>
  <si>
    <t>5.</t>
  </si>
  <si>
    <t>ESQUADRIAS</t>
  </si>
  <si>
    <t>5.1</t>
  </si>
  <si>
    <t>5.2</t>
  </si>
  <si>
    <t>6.</t>
  </si>
  <si>
    <t>6.1</t>
  </si>
  <si>
    <t>6.2</t>
  </si>
  <si>
    <t>6.3</t>
  </si>
  <si>
    <t>7.</t>
  </si>
  <si>
    <t>7.1</t>
  </si>
  <si>
    <t>8.</t>
  </si>
  <si>
    <t>8.1</t>
  </si>
  <si>
    <t>8.2</t>
  </si>
  <si>
    <t>8.3</t>
  </si>
  <si>
    <t>8.4</t>
  </si>
  <si>
    <t>9.</t>
  </si>
  <si>
    <t>9.1</t>
  </si>
  <si>
    <t>9.2</t>
  </si>
  <si>
    <t>9.3</t>
  </si>
  <si>
    <t>REFERÊNCIA:</t>
  </si>
  <si>
    <t>10.</t>
  </si>
  <si>
    <t>10.1</t>
  </si>
  <si>
    <t>10.2</t>
  </si>
  <si>
    <t>10.3</t>
  </si>
  <si>
    <t>10.4</t>
  </si>
  <si>
    <t>Vergas, contravergas e pilaretes de concreto armado</t>
  </si>
  <si>
    <t>14.20.010</t>
  </si>
  <si>
    <t>11.</t>
  </si>
  <si>
    <t>12.</t>
  </si>
  <si>
    <t>12.1</t>
  </si>
  <si>
    <t>TOTAL GERAL COM BDI</t>
  </si>
  <si>
    <t>13.</t>
  </si>
  <si>
    <t>13.1</t>
  </si>
  <si>
    <t>11.1</t>
  </si>
  <si>
    <t>11.2</t>
  </si>
  <si>
    <t>11.3</t>
  </si>
  <si>
    <t>11.4</t>
  </si>
  <si>
    <t>14.</t>
  </si>
  <si>
    <t>14.1</t>
  </si>
  <si>
    <t>14.2</t>
  </si>
  <si>
    <t>14.3</t>
  </si>
  <si>
    <t>2.</t>
  </si>
  <si>
    <t>7.2</t>
  </si>
  <si>
    <t>7.3</t>
  </si>
  <si>
    <t>7.4</t>
  </si>
  <si>
    <t>7.5</t>
  </si>
  <si>
    <t>7.6</t>
  </si>
  <si>
    <t>9.4</t>
  </si>
  <si>
    <t>PINTURA EXTERNA</t>
  </si>
  <si>
    <t>PINTURA INTERNA</t>
  </si>
  <si>
    <t>total</t>
  </si>
  <si>
    <t>15.</t>
  </si>
  <si>
    <t>15.1</t>
  </si>
  <si>
    <t>16.</t>
  </si>
  <si>
    <t>16.1</t>
  </si>
  <si>
    <t>16.2</t>
  </si>
  <si>
    <t>16.3</t>
  </si>
  <si>
    <t>2.8</t>
  </si>
  <si>
    <t>REFERÊNCIA</t>
  </si>
  <si>
    <t>3.3</t>
  </si>
  <si>
    <t>7.8</t>
  </si>
  <si>
    <t>8.5</t>
  </si>
  <si>
    <t>12.2</t>
  </si>
  <si>
    <t>12.3</t>
  </si>
  <si>
    <t>12.4</t>
  </si>
  <si>
    <t>12.5</t>
  </si>
  <si>
    <t>PLANILHA ORÇAMENTÁRIA</t>
  </si>
  <si>
    <t>4.3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</si>
  <si>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</si>
  <si>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</si>
  <si>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</si>
  <si>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</si>
  <si>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</si>
  <si>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</si>
  <si>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</si>
  <si>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</si>
  <si>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</si>
  <si>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</si>
  <si>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</si>
  <si>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</si>
  <si>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4.4</t>
  </si>
  <si>
    <t>4.5</t>
  </si>
  <si>
    <t>4.6</t>
  </si>
  <si>
    <t>4.7</t>
  </si>
  <si>
    <t>4.8</t>
  </si>
  <si>
    <t>4.9</t>
  </si>
  <si>
    <t>5.3</t>
  </si>
  <si>
    <t>8.6</t>
  </si>
  <si>
    <t>Esmalte à base de água em massa, inclusive preparo</t>
  </si>
  <si>
    <t>33.10.041</t>
  </si>
  <si>
    <t>concreto  * 100</t>
  </si>
  <si>
    <t>7.7</t>
  </si>
  <si>
    <t>13.2</t>
  </si>
  <si>
    <t>14.4</t>
  </si>
  <si>
    <t>14.5</t>
  </si>
  <si>
    <t>1º MÊS</t>
  </si>
  <si>
    <t>2º MÊS</t>
  </si>
  <si>
    <t>3º MÊS</t>
  </si>
  <si>
    <t xml:space="preserve">SINAPI </t>
  </si>
  <si>
    <t>REFORMA DO POSTO DE SAÚDE DO BAIRRO TERRAS DE SANTA MARIA</t>
  </si>
  <si>
    <t xml:space="preserve">LOCAL: RUA DR. JOSÉ JOAQUIM DE TOLEDO, 06 - TERRAS DE SANTA MARIA </t>
  </si>
  <si>
    <t>REMOÇÃO DE TELHAS DE FIBROCIMENTO METÁLICA E CERÂMICA, DE FORMA MANUAL, SEM REAPROVEITAMENTO. AF_09/2023</t>
  </si>
  <si>
    <t>SINAPI</t>
  </si>
  <si>
    <t>Remoção de entulho separado de obra com caçamba metálica ‐ terra,
alvenaria, concreto, argamassa, madeira, papel, plástico ou metal</t>
  </si>
  <si>
    <t>05.07.040</t>
  </si>
  <si>
    <t>TELHAMENTO COM TELHA METÁLICA TERMOACÚSTICA E = 30 MM, COM ATÉ 2 ÁGUAS , INCLUSO IÇAMENTO. AF_07/2019</t>
  </si>
  <si>
    <t>REMOÇÃO DE TRAMA DE MADEIRA PARA COBERTURA, DE FORMA MANUAL, SEM REAPROVEITAMENTO. AF_09/2023</t>
  </si>
  <si>
    <t>TRAMA DE AÇO COMPOSTA POR TERÇAS PARA TELHADOS DE ATÉ 2 ÁGUAS PARA TELHA ONDULADA DE FIBROCIMENTO, METÁLICA, PLÁSTICA OU TERMOACÚSTICA, INCLUSO TRANSPORTE VERTICAL. AF_07/2019</t>
  </si>
  <si>
    <t>FABRICAÇÃO E INSTALAÇÃO DE TESOURA INTEIRA EM AÇO, VÃO DE 6 M, PARA TELHA ONDULADA DE FIBROCIMENTO, METÁLICA, PLÁSTICA OU TERMOACÚSTICA, INCLUSO IÇAMENTO. AF_12/2015</t>
  </si>
  <si>
    <t>DEMOLIÇÃO DE PILARES E VIGAS EM CONCRETO ARMADO, DE FORMA MANUAL, SEMREAPROVEITAMENTO. AF_09/2023</t>
  </si>
  <si>
    <t>REMOÇÃO CALHAS E RUFOS, DE FORMA MANUAL, SEM REAPROVEITAMENTO. AF_09/2023</t>
  </si>
  <si>
    <t>DEMOLIÇÃO DE ALVENARIA DE BLOCO FURADO, DE FORMA MANUAL, SEM REAPROVEITAMENTO. AF_09/2023</t>
  </si>
  <si>
    <t>FABRICAÇÃO E INSTALAÇÃO DE TESOURA INTEIRA EM AÇO, VÃO DE 3 M, PARA TELHA ONDULADA DE FIBROCIMENTO, METÁLICA, PLÁSTICA OU TERMOACÚSTICA, INCLUSO IÇAMENTO. AF_12/2015</t>
  </si>
  <si>
    <t>RUFO EXTERNO/INTERNO EM CHAPA DE AÇO GALVANIZADO NÚMERO 26, CORTE DE 33 CM, INCLUSO IÇAMENTO. AF_07/2019</t>
  </si>
  <si>
    <t>CALHA EM CHAPA DE AÇO GALVANIZADO NÚMERO 24, DESENVOLVIMENTO DE 50 CM,INCLUSO TRANSPORTE VERTICAL. AF_07/2019</t>
  </si>
  <si>
    <t>ALVENARIA DE VEDAÇÃO DE BLOCOS CERÂMICOS FURADOS NA VERTICAL DE 14X19X39 CM (ESPESSURA 14 CM) E ARGAMASSA DE ASSENTAMENTO COM PREPARO MANUAL. AF_12/2021</t>
  </si>
  <si>
    <t>SUBSTITUIÇÃO DE COBERTURA CERÂMICA (BLOCO FRENTE E ÁREA DE ESPERA EXTERNA)</t>
  </si>
  <si>
    <t>SUBSTITUIÇÃO DE COBERTURA (BLOCO DE LIGAÇÃO ENTRE OS PRÉDIOS)</t>
  </si>
  <si>
    <t>CHAPISCO APLICADO EM ALVENARIA (SEM PRESENÇA DE VÃOS) E ESTRUTURAS DE CONCRETO DE FACHADA, COM COLHER DE PEDREIRO. ARGAMASSA TRAÇO 1:3 COM PREPARO MANUAL. AF_10/2022</t>
  </si>
  <si>
    <t>EMBOÇO OU MASSA ÚNICA EM ARGAMASSA TRAÇO 1:2:8, PREPARO MECÂNICO COM BETONEIRA 400 L, APLICADA MANUALMENTE EM PANOS CEGOS DE FACHADA (SEM PRESENÇA DE VÃOS), ESPESSURA DE 25 MM. AF_08/2022</t>
  </si>
  <si>
    <t>2.9</t>
  </si>
  <si>
    <t>2.10</t>
  </si>
  <si>
    <t>2.11</t>
  </si>
  <si>
    <t>2.12</t>
  </si>
  <si>
    <t>SUBSTITUIÇÃO DE COBERTURA BLOCO DO FUNDO</t>
  </si>
  <si>
    <t>FABRICAÇÃO E INSTALAÇÃO DE TESOURA INTEIRA EM AÇO, VÃO DE 5 M, PARA TELHA ONDULADA DE FIBROCIMENTO, METÁLICA, PLÁSTICA OU TERMOACÚSTICA, INCLUSO IÇAMENTO. AF_12/2015</t>
  </si>
  <si>
    <t>REMOÇÃO DE TRAMA METÁLICA OU DE MADEIRA PARA FORRO, DE FORMA MANUAL, SEM REAPROVEITAMENTO. AF_09/2023</t>
  </si>
  <si>
    <t>REMOÇÃO DE FORROS DE DRYWALL, PVC E FIBROMINERAL, DE FORMA MANUAL, SEM REAPROVEITAMENTO. AF_09/2023</t>
  </si>
  <si>
    <t>REMOÇÃO DE LUMINÁRIAS, DE FORMA MANUAL, SEM REAPROVEITAMENTO. AF_09/2023</t>
  </si>
  <si>
    <t>3.4</t>
  </si>
  <si>
    <t>3.5</t>
  </si>
  <si>
    <t>3.6</t>
  </si>
  <si>
    <t>3.7</t>
  </si>
  <si>
    <t>3.8</t>
  </si>
  <si>
    <t>3.9</t>
  </si>
  <si>
    <t>3.10</t>
  </si>
  <si>
    <t>3.11</t>
  </si>
  <si>
    <t>TUBO PVC, SÉRIE R, ÁGUA PLUVIAL, DN 75 MM, FORNECIDO E INSTALADO EM CONDUTORES VERTICAIS DE ÁGUAS PLUVIAIS. AF_06/2022</t>
  </si>
  <si>
    <t>ALAMBRADO EXTERNO</t>
  </si>
  <si>
    <t>Gradil em aço galvanizado eletrofundido, malha 65 x 132 mm e pintura eletrostática</t>
  </si>
  <si>
    <t>34.05.260</t>
  </si>
  <si>
    <t>PISO EXTERNO</t>
  </si>
  <si>
    <t>DEMOLIÇÃO DE PISO DE CONCRETO SIMPLES, DE FORMA MANUAL, SEM REAPROVEITAMENTO. AF_09/2023</t>
  </si>
  <si>
    <t>DRENAGEM DE ÁGUAS PLUVIAIS</t>
  </si>
  <si>
    <t>TUBO PVC, SÉRIE R, ÁGUA PLUVIAL, DN 100 MM, FORNECIDO E INSTALADO EM RAMAL DE ENCAMINHAMENTO. AF_06/2022</t>
  </si>
  <si>
    <t>ESCAVAÇÃO MANUAL DE VALA COM PROFUNDIDADE MENOR OU IGUAL A 1,30 M. AF_02/2021</t>
  </si>
  <si>
    <t>CAIXA COM GRELHA RETANGULAR DE FERRO FUNDIDO, EM ALVENARIA COM TIJOLOS CERÂMICOS MACIÇOS, DIMENSÕES INTERNAS: 0,20 X 1,00 X 0,4 M. AF_08/2021</t>
  </si>
  <si>
    <t>SERVIÇOS FACHADA EXTERNA</t>
  </si>
  <si>
    <t>RASGO LINEAR MANUAL EM ALVENARIA, PARA RAMAIS/ DISTRIBUIÇÃO DE INSTALAÇÕES HIDRÁULICAS, DIÂMETROS MENORES OU IGUAIS A 40 MM. AF_09/2023 (DRENO AR CONDICIONADO)</t>
  </si>
  <si>
    <t>ESCAVAÇÃO MANUAL PARA VIGA BALDRAME OU SAPATA CORRIDA (INCLUINDO ESCAVAÇÃO PARA COLOCAÇÃO DE FÔRMAS). AF_01/2024</t>
  </si>
  <si>
    <t>ESTACA BROCA DE CONCRETO, DIÂMETRO DE 25CM, ESCAVAÇÃO MANUAL COM TRADO CONCHA, COM ARMADURA DE ARRANQUE. AF_05/2020</t>
  </si>
  <si>
    <t>ARMAÇÃO DE BLOCO UTILIZANDO AÇO CA-50 DE 8 MM - MONTAGEM. AF_01/2024</t>
  </si>
  <si>
    <t>CONCRETO FCK = 25MPA, TRAÇO 1:2,3:2,7 (EM MASSA SECA DE CIMENTO/ AREIA MÉDIA/ BRITA 1) - PREPARO MECÂNICO COM BETONEIRA 400 L. AF_05/2021</t>
  </si>
  <si>
    <t>FABRICAÇÃO, MONTAGEM E DESMONTAGEM DE FÔRMA PARA VIGA BALDRAME, EM MADEIRA SERRADA, E=25 MM, 1 UTILIZAÇÃO. AF_01/2024</t>
  </si>
  <si>
    <t>EXECUÇÃO DE PASSEIO (CALÇADA) OU PISO DE CONCRETO COM CONCRETO MOLDADO IN LOCO, FEITO EM OBRA, ACABAMENTO CONVENCIONAL, NÃO ARMADO. AF_08/2022</t>
  </si>
  <si>
    <t>TUBO, PVC, SOLDÁVEL, DN 25MM, INSTALADO EM DRENO DE AR-CONDICIONADO - FORNECIMENTO E INSTALAÇÃO. AF_08/2022</t>
  </si>
  <si>
    <t>DEMOLIÇÃO DE ARGAMASSAS, DE FORMA MANUAL, SEM REAPROVEITAMENTO. AF_09/2023</t>
  </si>
  <si>
    <t>CONSTRUÇÃO PILAR SALA VACINA</t>
  </si>
  <si>
    <t>FABRICAÇÃO DE FÔRMA PARA PILARES E ESTRUTURAS SIMILARES, EM MADEIRA SERRADA, E=25 MM. AF_09/2020</t>
  </si>
  <si>
    <t>ARMAÇÃO DE BLOCO UTILIZANDO AÇO CA-50 DE 10 MM - MONTAGEM. AF_01/2024</t>
  </si>
  <si>
    <t>REPARO COZINHA FUNCIONÁRIOS</t>
  </si>
  <si>
    <t>DEMOLIÇÃO DE REVESTIMENTO CERÂMICO, DE FORMA MANUAL, SEM REAPROVEITAMENTO. AF_09/2023</t>
  </si>
  <si>
    <t>EMBOÇO, PARA RECEBIMENTO DE CERÂMICA, EM ARGAMASSA TRAÇO 1:2:8, PREPARO MECÂNICO COM BETONEIRA 400L, APLICADO MANUALMENTE EM FACES INTERNAS DE PAREDES, PARA AMBIENTE COM ÁREA MENOR QUE 5M2, ESPESSURA DE 20MM, COM EXECUÇÃO DE TALISCAS. AF_06/2014</t>
  </si>
  <si>
    <t>REVESTIMENTO CERÂMICO PARA PAREDES INTERNAS COM PLACAS TIPO ESMALTADA EXTRA DE DIMENSÕES 20X20 CM APLICADAS A MEIA ALTURA DAS PAREDES. AF_02/2023_PE</t>
  </si>
  <si>
    <t>8.7</t>
  </si>
  <si>
    <t>REPAROS HIDRÁULICOS</t>
  </si>
  <si>
    <t>SIFÃO DO TIPO FLEXÍVEL EM PVC 1 X 1.1/2 - FORNECIMENTO E INSTALAÇÃO AF_01/2020</t>
  </si>
  <si>
    <t>REMOÇÃO DE TUBULAÇÕES (TUBOS E CONEXÕES) DE ÁGUA FRIA, DE FORMA MANUAL , SEM REAPROVEITAMENTO. AF_09/2023</t>
  </si>
  <si>
    <t>PISO EM GRANITO APLICADO EM AMBIENTES INTERNOS. AF_09/2020</t>
  </si>
  <si>
    <t>REMOÇÃO DE LOUÇAS, DE FORMA MANUAL, SEM REAPROVEITAMENTO. AF_09/2023</t>
  </si>
  <si>
    <t>ABERTURA VÃO WC PNE</t>
  </si>
  <si>
    <t>Remoção de entulho separado de obra com caçamba metálica ‐ terra, alvenaria, concreto, argamassa, madeira, papel, plástico ou metal</t>
  </si>
  <si>
    <t>REVESTIMENTO INTERNO</t>
  </si>
  <si>
    <t>IMPERMEABILIZAÇÃO DE SUPERFÍCIE COM ARGAMASSA POLIMÉRICA / MEMBRANA ACRÍLICA, 3 DEMÃOS. AF_09/2023</t>
  </si>
  <si>
    <t>FORRO EM RÉGUAS DE PVC, FRISADO, PARA AMBIENTES COMERCIAIS, INCLUSIVE ESTRUTURA BIDIRECIONAL DE FIXAÇÃO. AF_08/2023_PS</t>
  </si>
  <si>
    <t>LUMINÁRIA TIPO CALHA, DE SOBREPOR, COM 2 LÂMPADAS TUBULARES FLUORESCENTES DE 36 W, COM REATOR DE PARTIDA RÁPIDA - FORNECIMENTO E INSTALAÇÃO. AF_02/2020</t>
  </si>
  <si>
    <t>RECOLOCAÇÃO FORRO DE PVC E ILUMINAÇÃO</t>
  </si>
  <si>
    <t>REMOÇÃO DE PORTAS, DE FORMA MANUAL, SEM REAPROVEITAMENTO. AF_09/2023</t>
  </si>
  <si>
    <t>PORTA DE MADEIRA PARA PINTURA, SEMI-OCA (LEVE OU MÉDIA), 80X210CM, ESPESSURA DE 3,5CM, INCLUSO DOBRADIÇAS - FORNECIMENTO E INSTALAÇÃO. AF_12/2019</t>
  </si>
  <si>
    <t>ALIZAR DE 5X1,5CM PARA PORTA FIXADO COM PREGOS, PADRÃO MÉDIO - FORNECIMENTO E INSTALAÇÃO. AF_12/2019</t>
  </si>
  <si>
    <t>KIT DE PORTA DE MADEIRA TIPO MEXICANA, MACIÇA (PESADA OU SUPERPESADA), PADRÃO MÉDIO, 80X210CM, ESPESSURA DE 3,5CM, ITENS INCLUSOS: DOBRADIÇAS, MONTAGEM E INSTALAÇÃO DE BATENTE, FECHADURA COM EXECUÇÃO DO FURO - FORNECIMENTO E INSTALAÇÃO. AF_12/2019</t>
  </si>
  <si>
    <t>PORTA DE CORRER DE ALUMÍNIO, COM DUAS FOLHAS PARA VIDRO, INCLUSO VIDRO LISO INCOLOR, FECHADURA E PUXADOR, SEM ALIZAR. AF_12/2019</t>
  </si>
  <si>
    <t>14.6</t>
  </si>
  <si>
    <t>PINTURA LÁTEX ACRÍLICA PREMIUM, APLICAÇÃO MANUAL EM PAREDES, DUAS DEMÃOS. AF_04/2023</t>
  </si>
  <si>
    <t>LIXAMENTO DE MADEIRA PARA APLICAÇÃO DE FUNDO OU PINTURA. AF_01/2021</t>
  </si>
  <si>
    <t>PINTURA TINTA DE ACABAMENTO (PIGMENTADA) ESMALTE SINTÉTICO ACETINADO EM MADEIRA, 3 DEMÃOS. AF_01/2021</t>
  </si>
  <si>
    <t>FUNDO SELADOR ACRÍLICO, APLICAÇÃO MANUAL EM PAREDE, UMA DEMÃO. AF_04/2023</t>
  </si>
  <si>
    <t>PINTURA COM TINTA ALQUÍDICA DE FUNDO E ACABAMENTO (ESMALTE SINTÉTICO GRAFITE) APLICADA A ROLO OU PINCEL SOBRE SUPERFÍCIES METÁLICAS (EXCETO PERFIL) EXECUTADO EM OBRA (POR DEMÃO). AF_01/2020</t>
  </si>
  <si>
    <t>PINTURA DE PISO COM TINTA ACRÍLICA, APLICAÇÃO MANUAL, 2 DEMÃOS, INCLUSO FUNDO PREPARADOR. AF_05/2021</t>
  </si>
  <si>
    <t>15.2</t>
  </si>
  <si>
    <t>15.3</t>
  </si>
  <si>
    <t>15.4</t>
  </si>
  <si>
    <t>15.5</t>
  </si>
  <si>
    <t>15.6</t>
  </si>
  <si>
    <t>16.4</t>
  </si>
  <si>
    <t>memória</t>
  </si>
  <si>
    <t>remoção de telha cerâmica: 19,40 * 4,00 * 2 águas = 155,20 m² + cobertura cerâmica varanda frente: 43,00 m² + 8,00% = 46,44 m²</t>
  </si>
  <si>
    <t>44,00 m² área levantada no cad</t>
  </si>
  <si>
    <t>demolição dos pilares da frente para acerto da altura da nova cobertura: 1,00 m altura * 0,30 * 0,30 * 4 unidades</t>
  </si>
  <si>
    <t>remoção de calha existente entre o primeiro bloco e o bloco de transição entra as construções</t>
  </si>
  <si>
    <t>remoção de entulho resultante da remoção do telhado</t>
  </si>
  <si>
    <t>emenda na estrutura metálica, parte frontal onde existe a varanda: 11,90 m² + estrutura da varanda: 44,00 m² (áreas levantadas no cad)</t>
  </si>
  <si>
    <t>considerado 2 tesouras para estrutura da varanda</t>
  </si>
  <si>
    <t>instalação de telhas no bloco frontal e varanda</t>
  </si>
  <si>
    <t>demolição da platibanda para instalação da nova cobertura: 7,05 m comprimento * (1,33/2) altura média  * 0,25 espessura</t>
  </si>
  <si>
    <t>remoção de telhas de fibrocimento: 1,27*1,65 m + 7,10 * 2,61 m</t>
  </si>
  <si>
    <t>área levantada no cad</t>
  </si>
  <si>
    <t>aumento alvenaria platibanda: 7,10 m * 0,60 h</t>
  </si>
  <si>
    <t>verga: 7,10 * 0,15 * 0,20 + pilaretes: 0,60 h * 0,15 * 0,20 * 4 unidades</t>
  </si>
  <si>
    <t>chapisco alvenaria platibanda que subiu 7,10 * 0,60 h * 2 lados</t>
  </si>
  <si>
    <t>reboco alvenaria platibanda que subiu 7,10 * 0,60 h * 2 lados</t>
  </si>
  <si>
    <t>estrutura para novo telhado, área levantada no cad</t>
  </si>
  <si>
    <t xml:space="preserve">considerado 5 tesouras para cobertura nova </t>
  </si>
  <si>
    <t>3,45 * 13,95 m (considerado medida com inclinação)</t>
  </si>
  <si>
    <t xml:space="preserve">rufo 13,95 m </t>
  </si>
  <si>
    <t>demolição de platibanda para instalação de nova cobertura: 17,90 m * 0,70 m h * 0,25 espessura</t>
  </si>
  <si>
    <t>4,74 * 17,90 m - remoção de telhas, considerado medida do telhado inclinado</t>
  </si>
  <si>
    <t>4,65 * 17,90 m</t>
  </si>
  <si>
    <t>remoção de forro interno medidas tiradas no cad</t>
  </si>
  <si>
    <t>luminárias dos locais onde será retirado o forro</t>
  </si>
  <si>
    <t>considerada 5 unidades</t>
  </si>
  <si>
    <t>5,45 * 17,90 m</t>
  </si>
  <si>
    <t>remoção de entulho resultante da remoção do telhado e forro</t>
  </si>
  <si>
    <t>23,30 m * 0,20 largura * 0,30 prof</t>
  </si>
  <si>
    <t>23,30 m * 0,30 h * 2 lados</t>
  </si>
  <si>
    <t>7 brocas com 1,00 m profundidade</t>
  </si>
  <si>
    <t>demolição piso para acerto inclinação área levantada no cad 8,35 m2 * 0,07 m</t>
  </si>
  <si>
    <t>entulho calçada</t>
  </si>
  <si>
    <t>31,00 m extensão * 0,20 largura * 0,70 prof</t>
  </si>
  <si>
    <t>3 unidades</t>
  </si>
  <si>
    <t xml:space="preserve">31,00 m extensão </t>
  </si>
  <si>
    <t>8 unidades de ar condicionado * 3,00 m</t>
  </si>
  <si>
    <t>8 * 3 altura + 2 piso</t>
  </si>
  <si>
    <t>8 unid * 3 m * 0,15 m</t>
  </si>
  <si>
    <t>área reboco lateral (altura toda) 52,56 m² + fundo 18,20 * 2,00 m</t>
  </si>
  <si>
    <t>0,40 + 0,40 + 0,40 + 0,40 * 3 m</t>
  </si>
  <si>
    <t xml:space="preserve">0,20 * 0,20 * 3,00 </t>
  </si>
  <si>
    <t>demolição de alvenaria para execução de pilar no local da trinca: 0,20 * 0,20 * 3,00 m h</t>
  </si>
  <si>
    <t>remoção de revestimento cerâmico em baixo pia 1,10 * 0,90</t>
  </si>
  <si>
    <t>refazer revestimento em baixo pia</t>
  </si>
  <si>
    <t>substituição de todos os sifões instalados na unidade</t>
  </si>
  <si>
    <t>remoção de tubulação do piso, instalações de cadeira de dentista</t>
  </si>
  <si>
    <t>fazer tipo soleira para tapar o vão onde será retirada a instaslação da cadeira de dentista</t>
  </si>
  <si>
    <t>retirar lavatório com coluna sala e fechar instalações hidráulicas</t>
  </si>
  <si>
    <t>abertura de vão entre wc PNE e wc masculino para ventilação e fechamento do domus</t>
  </si>
  <si>
    <t>requadro do vão aberto</t>
  </si>
  <si>
    <t>salas bloco frente: 3,05 + 2,60 * 0,60 / wc sala ginecol 1,10 * 0,60 / corredor bloco fundo 15,80 * 1,20 / salas bloco fundo 3,14 + 3,36 + 4,16 + 3,26 + 3,39 * 1,10</t>
  </si>
  <si>
    <t>remoção de 3 portas, 2 internas e 1 interna</t>
  </si>
  <si>
    <t>substituição de porta interna quebrada, somente folha</t>
  </si>
  <si>
    <t>substituição de portas maciças externas</t>
  </si>
  <si>
    <t>guarnição portas externas</t>
  </si>
  <si>
    <t>1,30 * 2,20 porta correr 1 folha corredor bloco fundo</t>
  </si>
  <si>
    <t>pintura da calçada externa do posto</t>
  </si>
  <si>
    <t>remoção de tinta esmalte do forro de madeira e tabeira: área forro 30,84 m² + tabeira 53,80 m * 0,20 m</t>
  </si>
  <si>
    <t>BLOCO FRENTE</t>
  </si>
  <si>
    <t>obs: área retirada do cad</t>
  </si>
  <si>
    <t>frente:</t>
  </si>
  <si>
    <t>laterais:</t>
  </si>
  <si>
    <t>fundo:</t>
  </si>
  <si>
    <t>BLOCO INTERMEDIÁRIO</t>
  </si>
  <si>
    <t>BLOCO FUNDO</t>
  </si>
  <si>
    <t>Platibanda:</t>
  </si>
  <si>
    <t>PINTURA EXTERNA:</t>
  </si>
  <si>
    <t>TOTAL</t>
  </si>
  <si>
    <t>ESQUADRIAS DESCONTAR</t>
  </si>
  <si>
    <t>TOTAL PINTURA EXTERNA</t>
  </si>
  <si>
    <t>pintura externa</t>
  </si>
  <si>
    <t>GRADES ESQUADRIAS METÁLICAS</t>
  </si>
  <si>
    <t>ESQUADRIAS METÁLICAS</t>
  </si>
  <si>
    <t>pintura estrutura metálica da cobertura da varanda 44,00 m² / pintura grades metálicas das esquadrias: 23,94 M² / pintura esquadrias metálicas: 46,00 M²</t>
  </si>
  <si>
    <t>pintura forro de madeira e tabeira + pintura portas de madeira externas: 10,08</t>
  </si>
  <si>
    <t>PINTURA INTERNA:</t>
  </si>
  <si>
    <t>sala de espera:</t>
  </si>
  <si>
    <t>Cumeeira em chapa de aço pré‐pintada com epóxi e poliéster, perfil
ondulado, com espessura de 0,50 mm</t>
  </si>
  <si>
    <t>16.12.220</t>
  </si>
  <si>
    <t>cumeeira das duas coberturas</t>
  </si>
  <si>
    <t>barra óleo :</t>
  </si>
  <si>
    <t>acrilica:</t>
  </si>
  <si>
    <t>recepção:</t>
  </si>
  <si>
    <t>pilares:</t>
  </si>
  <si>
    <t>arquivo:</t>
  </si>
  <si>
    <t>DML</t>
  </si>
  <si>
    <t>Salas</t>
  </si>
  <si>
    <t>banheiros:</t>
  </si>
  <si>
    <t>circulação frente</t>
  </si>
  <si>
    <t>circulação fundo</t>
  </si>
  <si>
    <t>salas fundo</t>
  </si>
  <si>
    <t>expurgo</t>
  </si>
  <si>
    <t>acrílica:</t>
  </si>
  <si>
    <t>óleo:</t>
  </si>
  <si>
    <t>PORTAS INTERNAS</t>
  </si>
  <si>
    <t>Portão de abrir em grade de aço galvanizado eletrofundida, malha 65 x 132 mm, e pintura eletrostática</t>
  </si>
  <si>
    <t>34.05.290</t>
  </si>
  <si>
    <t>calha água do fundo e encontro com a construção do bloco intermediário</t>
  </si>
  <si>
    <t xml:space="preserve"> saídas água pluvial, descida da calha 3 m descida + 2 m embutido piso * 5 saídas</t>
  </si>
  <si>
    <t>Lucas Amadio Polastre</t>
  </si>
  <si>
    <t>Arquiteto e Urbanista</t>
  </si>
  <si>
    <t>CAU: A146657-7</t>
  </si>
  <si>
    <t>Secretário de Obras e Planejamento</t>
  </si>
  <si>
    <t>04.09.100</t>
  </si>
  <si>
    <t>Retirada de guarda‐corpo ou gradil em geral</t>
  </si>
  <si>
    <t>Gradil em aço galvanizado eletrofundido, malha 65 x 132 mm e pintura eletrostática (MÃO DE OBRA PARA INSTALAÇÃO)</t>
  </si>
  <si>
    <t>23,30 - (9,50 + 1,50) * 2,00</t>
  </si>
  <si>
    <t>portões 1,50 * 2,20</t>
  </si>
  <si>
    <t>9,50 * 2,00 altura remoção de alambrado e portão  existente</t>
  </si>
  <si>
    <t>9,50 * 2,00 altura reinstalação de alambrado e portão  existente</t>
  </si>
  <si>
    <t>CRONOGRAMA FÍSICO-FINANCEIRO</t>
  </si>
  <si>
    <t>versão 193</t>
  </si>
  <si>
    <t>TUBO PVC, SÉRIE R, ÁGUA PLUVIAL, DN 100 MM, FORNECIDO E INSTALADO EM CONDUTORES VERTICAIS DE ÁGUAS PLUVIAIS. AF_06/2022</t>
  </si>
  <si>
    <t>1.12</t>
  </si>
  <si>
    <t>rufo entre varanda externa e construção</t>
  </si>
  <si>
    <t>execução de pisos externos 28,28 m2 + 8,35 m2 * 0,07 espessura</t>
  </si>
  <si>
    <t>Tietê, 11 de junho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</si>
</sst>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$&quot;\ * #,##0.00_-;\-&quot;R$&quot;\ * #,##0.00_-;_-&quot;R$&quot;\ * &quot;-&quot;??_-;_-@_-"/>
    <numFmt numFmtId="165" formatCode="&quot;R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4" fontId="3" fillId="2" borderId="0" xfId="0" applyNumberFormat="1" applyFont="1" applyFill="1" applyAlignment="1" applyProtection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vertical="top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165" fontId="11" fillId="3" borderId="9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4" fontId="2" fillId="0" borderId="0" xfId="0" applyNumberFormat="1" applyFont="1" applyFill="1" applyBorder="1" applyAlignment="1" applyProtection="1">
      <alignment vertical="top"/>
    </xf>
    <xf numFmtId="2" fontId="0" fillId="0" borderId="0" xfId="0" applyNumberFormat="1"/>
    <xf numFmtId="0" fontId="3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4" fontId="2" fillId="0" borderId="0" xfId="0" applyNumberFormat="1" applyFont="1" applyFill="1" applyBorder="1" applyAlignment="1" applyProtection="1">
      <alignment vertical="center"/>
    </xf>
    <xf numFmtId="49" fontId="6" fillId="2" borderId="0" xfId="0" applyNumberFormat="1" applyFont="1" applyFill="1" applyAlignment="1" applyProtection="1">
      <alignment vertical="center"/>
    </xf>
    <xf numFmtId="49" fontId="6" fillId="2" borderId="0" xfId="0" applyNumberFormat="1" applyFont="1" applyFill="1" applyAlignment="1" applyProtection="1">
      <alignment horizontal="right" vertical="center"/>
    </xf>
    <xf numFmtId="0" fontId="7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Alignment="1" applyProtection="1">
      <alignment horizontal="center" vertical="center"/>
    </xf>
    <xf numFmtId="49" fontId="3" fillId="2" borderId="0" xfId="0" applyNumberFormat="1" applyFont="1" applyFill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right" vertical="center"/>
    </xf>
    <xf numFmtId="0" fontId="9" fillId="3" borderId="1" xfId="0" applyFont="1" applyFill="1" applyBorder="1" applyAlignment="1" applyProtection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3" borderId="7" xfId="0" applyNumberFormat="1" applyFont="1" applyFill="1" applyBorder="1" applyAlignment="1" applyProtection="1">
      <alignment horizontal="center" vertical="center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2" fontId="9" fillId="3" borderId="3" xfId="0" applyNumberFormat="1" applyFont="1" applyFill="1" applyBorder="1" applyAlignment="1" applyProtection="1">
      <alignment horizontal="center" vertical="center"/>
      <protection locked="0"/>
    </xf>
    <xf numFmtId="164" fontId="9" fillId="3" borderId="3" xfId="1" applyFont="1" applyFill="1" applyBorder="1" applyAlignment="1" applyProtection="1">
      <alignment horizontal="left" vertical="center"/>
      <protection locked="0"/>
    </xf>
    <xf numFmtId="164" fontId="9" fillId="3" borderId="4" xfId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2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5" xfId="1" applyFont="1" applyFill="1" applyBorder="1" applyAlignment="1" applyProtection="1">
      <alignment horizontal="left" vertical="center" wrapText="1"/>
      <protection locked="0"/>
    </xf>
    <xf numFmtId="164" fontId="2" fillId="2" borderId="5" xfId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1" applyFont="1" applyFill="1" applyBorder="1" applyAlignment="1" applyProtection="1">
      <alignment horizontal="left" vertical="center" wrapText="1"/>
      <protection locked="0"/>
    </xf>
    <xf numFmtId="164" fontId="2" fillId="2" borderId="1" xfId="1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1" applyFont="1" applyFill="1" applyBorder="1" applyAlignment="1" applyProtection="1">
      <alignment horizontal="left" vertical="center" wrapText="1"/>
      <protection locked="0"/>
    </xf>
    <xf numFmtId="164" fontId="2" fillId="0" borderId="1" xfId="1" applyFont="1" applyFill="1" applyBorder="1" applyAlignment="1" applyProtection="1">
      <alignment horizontal="right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2" fontId="9" fillId="3" borderId="11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11" xfId="1" applyFont="1" applyFill="1" applyBorder="1" applyAlignment="1" applyProtection="1">
      <alignment horizontal="left" vertical="center" wrapText="1"/>
      <protection locked="0"/>
    </xf>
    <xf numFmtId="164" fontId="9" fillId="3" borderId="12" xfId="1" applyFont="1" applyFill="1" applyBorder="1" applyAlignment="1" applyProtection="1">
      <alignment horizontal="righ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/>
    </xf>
    <xf numFmtId="164" fontId="9" fillId="3" borderId="1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2" borderId="0" xfId="0" applyFont="1" applyFill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/>
    </xf>
    <xf numFmtId="17" fontId="3" fillId="3" borderId="7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 wrapText="1"/>
    </xf>
    <xf numFmtId="164" fontId="9" fillId="3" borderId="12" xfId="1" applyFont="1" applyFill="1" applyBorder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>
      <alignment vertical="center" wrapText="1"/>
    </xf>
    <xf numFmtId="2" fontId="9" fillId="3" borderId="1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9" fillId="3" borderId="4" xfId="1" applyFont="1" applyFill="1" applyBorder="1" applyAlignment="1" applyProtection="1">
      <alignment horizontal="left" vertical="center" wrapText="1"/>
      <protection locked="0"/>
    </xf>
    <xf numFmtId="164" fontId="3" fillId="0" borderId="1" xfId="0" applyNumberFormat="1" applyFont="1" applyBorder="1" applyAlignment="1">
      <alignment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/>
    <xf numFmtId="0" fontId="10" fillId="0" borderId="0" xfId="0" applyFont="1"/>
    <xf numFmtId="0" fontId="14" fillId="0" borderId="0" xfId="0" applyFont="1"/>
    <xf numFmtId="2" fontId="14" fillId="0" borderId="0" xfId="0" applyNumberFormat="1" applyFont="1"/>
    <xf numFmtId="2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17" fontId="2" fillId="3" borderId="1" xfId="0" applyNumberFormat="1" applyFont="1" applyFill="1" applyBorder="1" applyAlignment="1" applyProtection="1">
      <alignment horizontal="center" vertical="center"/>
    </xf>
    <xf numFmtId="4" fontId="2" fillId="3" borderId="1" xfId="0" applyNumberFormat="1" applyFont="1" applyFill="1" applyBorder="1" applyAlignment="1" applyProtection="1">
      <alignment horizontal="center" vertical="center"/>
    </xf>
    <xf numFmtId="10" fontId="3" fillId="3" borderId="6" xfId="0" applyNumberFormat="1" applyFont="1" applyFill="1" applyBorder="1" applyAlignment="1" applyProtection="1">
      <alignment horizontal="center" vertical="center"/>
    </xf>
    <xf numFmtId="17" fontId="3" fillId="3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vertical="center"/>
    </xf>
    <xf numFmtId="164" fontId="9" fillId="0" borderId="1" xfId="1" applyFont="1" applyFill="1" applyBorder="1" applyAlignment="1" applyProtection="1">
      <alignment horizontal="right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vertical="center" wrapText="1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164" fontId="9" fillId="0" borderId="6" xfId="1" applyFon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164" fontId="0" fillId="0" borderId="1" xfId="0" applyNumberFormat="1" applyBorder="1"/>
    <xf numFmtId="164" fontId="10" fillId="0" borderId="1" xfId="0" applyNumberFormat="1" applyFont="1" applyBorder="1" applyAlignment="1">
      <alignment vertical="center"/>
    </xf>
    <xf numFmtId="164" fontId="0" fillId="0" borderId="0" xfId="0" applyNumberFormat="1"/>
    <xf numFmtId="17" fontId="15" fillId="0" borderId="0" xfId="0" applyNumberFormat="1" applyFont="1" applyFill="1" applyBorder="1" applyAlignment="1" applyProtection="1">
      <alignment horizontal="center" vertical="center"/>
    </xf>
    <xf numFmtId="4" fontId="15" fillId="0" borderId="0" xfId="0" applyNumberFormat="1" applyFont="1" applyFill="1" applyBorder="1" applyAlignment="1" applyProtection="1">
      <alignment horizontal="center" vertical="center"/>
    </xf>
    <xf numFmtId="2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3" fillId="2" borderId="0" xfId="0" applyFont="1" applyFill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12" fillId="3" borderId="1" xfId="0" applyFont="1" applyFill="1" applyBorder="1" applyAlignment="1" applyProtection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4" fontId="4" fillId="3" borderId="7" xfId="0" applyNumberFormat="1" applyFont="1" applyFill="1" applyBorder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</xf>
  </cellXfs>
  <cellStyles count="2">
    <cellStyle name="Moeda" xfId="1" builtinId="4"/>
    <cellStyle name="Normal" xfId="0" builtinId="0"/>
  </cellStyles>
  <dxfs count="366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4762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4762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4762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4762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0</xdr:colOff>
      <xdr:row>0</xdr:row>
      <xdr:rowOff>121227</xdr:rowOff>
    </xdr:from>
    <xdr:to>
      <xdr:col>5</xdr:col>
      <xdr:colOff>779317</xdr:colOff>
      <xdr:row>5</xdr:row>
      <xdr:rowOff>167949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1" y="121227"/>
          <a:ext cx="7971558" cy="1504047"/>
        </a:xfrm>
        <a:prstGeom prst="rect">
          <a:avLst/>
        </a:prstGeom>
      </xdr:spPr>
    </xdr:pic>
    <xdr:clientData/>
  </xdr:twoCellAnchor>
  <xdr:twoCellAnchor>
    <xdr:from>
      <xdr:col>3</xdr:col>
      <xdr:colOff>147204</xdr:colOff>
      <xdr:row>14</xdr:row>
      <xdr:rowOff>112568</xdr:rowOff>
    </xdr:from>
    <xdr:to>
      <xdr:col>3</xdr:col>
      <xdr:colOff>1108363</xdr:colOff>
      <xdr:row>14</xdr:row>
      <xdr:rowOff>112568</xdr:rowOff>
    </xdr:to>
    <xdr:cxnSp macro="">
      <xdr:nvCxnSpPr>
        <xdr:cNvPr id="8" name="Conector reto 7"/>
        <xdr:cNvCxnSpPr/>
      </xdr:nvCxnSpPr>
      <xdr:spPr>
        <a:xfrm>
          <a:off x="5446568" y="3325091"/>
          <a:ext cx="961159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164522</xdr:colOff>
      <xdr:row>18</xdr:row>
      <xdr:rowOff>121227</xdr:rowOff>
    </xdr:from>
    <xdr:to>
      <xdr:col>4</xdr:col>
      <xdr:colOff>1108363</xdr:colOff>
      <xdr:row>18</xdr:row>
      <xdr:rowOff>121227</xdr:rowOff>
    </xdr:to>
    <xdr:cxnSp macro="">
      <xdr:nvCxnSpPr>
        <xdr:cNvPr id="10" name="Conector reto 9"/>
        <xdr:cNvCxnSpPr/>
      </xdr:nvCxnSpPr>
      <xdr:spPr>
        <a:xfrm>
          <a:off x="6693477" y="4857750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155863</xdr:colOff>
      <xdr:row>15</xdr:row>
      <xdr:rowOff>121227</xdr:rowOff>
    </xdr:from>
    <xdr:to>
      <xdr:col>3</xdr:col>
      <xdr:colOff>1073727</xdr:colOff>
      <xdr:row>15</xdr:row>
      <xdr:rowOff>121227</xdr:rowOff>
    </xdr:to>
    <xdr:cxnSp macro="">
      <xdr:nvCxnSpPr>
        <xdr:cNvPr id="11" name="Conector reto 10"/>
        <xdr:cNvCxnSpPr/>
      </xdr:nvCxnSpPr>
      <xdr:spPr>
        <a:xfrm>
          <a:off x="5455227" y="3714750"/>
          <a:ext cx="917864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178376</xdr:colOff>
      <xdr:row>16</xdr:row>
      <xdr:rowOff>117763</xdr:rowOff>
    </xdr:from>
    <xdr:to>
      <xdr:col>4</xdr:col>
      <xdr:colOff>1122217</xdr:colOff>
      <xdr:row>16</xdr:row>
      <xdr:rowOff>117763</xdr:rowOff>
    </xdr:to>
    <xdr:cxnSp macro="">
      <xdr:nvCxnSpPr>
        <xdr:cNvPr id="12" name="Conector reto 11"/>
        <xdr:cNvCxnSpPr/>
      </xdr:nvCxnSpPr>
      <xdr:spPr>
        <a:xfrm>
          <a:off x="6707331" y="4092286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140277</xdr:colOff>
      <xdr:row>17</xdr:row>
      <xdr:rowOff>122959</xdr:rowOff>
    </xdr:from>
    <xdr:to>
      <xdr:col>5</xdr:col>
      <xdr:colOff>1084118</xdr:colOff>
      <xdr:row>17</xdr:row>
      <xdr:rowOff>122959</xdr:rowOff>
    </xdr:to>
    <xdr:cxnSp macro="">
      <xdr:nvCxnSpPr>
        <xdr:cNvPr id="13" name="Conector reto 12"/>
        <xdr:cNvCxnSpPr/>
      </xdr:nvCxnSpPr>
      <xdr:spPr>
        <a:xfrm>
          <a:off x="7933459" y="4478482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161058</xdr:colOff>
      <xdr:row>19</xdr:row>
      <xdr:rowOff>117763</xdr:rowOff>
    </xdr:from>
    <xdr:to>
      <xdr:col>4</xdr:col>
      <xdr:colOff>1104899</xdr:colOff>
      <xdr:row>19</xdr:row>
      <xdr:rowOff>117763</xdr:rowOff>
    </xdr:to>
    <xdr:cxnSp macro="">
      <xdr:nvCxnSpPr>
        <xdr:cNvPr id="14" name="Conector reto 13"/>
        <xdr:cNvCxnSpPr/>
      </xdr:nvCxnSpPr>
      <xdr:spPr>
        <a:xfrm>
          <a:off x="6690013" y="5235286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174912</xdr:colOff>
      <xdr:row>20</xdr:row>
      <xdr:rowOff>122959</xdr:rowOff>
    </xdr:from>
    <xdr:to>
      <xdr:col>4</xdr:col>
      <xdr:colOff>1118753</xdr:colOff>
      <xdr:row>20</xdr:row>
      <xdr:rowOff>122959</xdr:rowOff>
    </xdr:to>
    <xdr:cxnSp macro="">
      <xdr:nvCxnSpPr>
        <xdr:cNvPr id="15" name="Conector reto 14"/>
        <xdr:cNvCxnSpPr/>
      </xdr:nvCxnSpPr>
      <xdr:spPr>
        <a:xfrm>
          <a:off x="6703867" y="5621482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145472</xdr:colOff>
      <xdr:row>21</xdr:row>
      <xdr:rowOff>128155</xdr:rowOff>
    </xdr:from>
    <xdr:to>
      <xdr:col>3</xdr:col>
      <xdr:colOff>1089313</xdr:colOff>
      <xdr:row>21</xdr:row>
      <xdr:rowOff>128155</xdr:rowOff>
    </xdr:to>
    <xdr:cxnSp macro="">
      <xdr:nvCxnSpPr>
        <xdr:cNvPr id="16" name="Conector reto 15"/>
        <xdr:cNvCxnSpPr/>
      </xdr:nvCxnSpPr>
      <xdr:spPr>
        <a:xfrm>
          <a:off x="5444836" y="6007678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159327</xdr:colOff>
      <xdr:row>22</xdr:row>
      <xdr:rowOff>133350</xdr:rowOff>
    </xdr:from>
    <xdr:to>
      <xdr:col>3</xdr:col>
      <xdr:colOff>1103168</xdr:colOff>
      <xdr:row>22</xdr:row>
      <xdr:rowOff>133350</xdr:rowOff>
    </xdr:to>
    <xdr:cxnSp macro="">
      <xdr:nvCxnSpPr>
        <xdr:cNvPr id="17" name="Conector reto 16"/>
        <xdr:cNvCxnSpPr/>
      </xdr:nvCxnSpPr>
      <xdr:spPr>
        <a:xfrm>
          <a:off x="5458691" y="6393873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155863</xdr:colOff>
      <xdr:row>23</xdr:row>
      <xdr:rowOff>138546</xdr:rowOff>
    </xdr:from>
    <xdr:to>
      <xdr:col>3</xdr:col>
      <xdr:colOff>1099704</xdr:colOff>
      <xdr:row>23</xdr:row>
      <xdr:rowOff>138546</xdr:rowOff>
    </xdr:to>
    <xdr:cxnSp macro="">
      <xdr:nvCxnSpPr>
        <xdr:cNvPr id="18" name="Conector reto 17"/>
        <xdr:cNvCxnSpPr/>
      </xdr:nvCxnSpPr>
      <xdr:spPr>
        <a:xfrm>
          <a:off x="5455227" y="6780069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161059</xdr:colOff>
      <xdr:row>24</xdr:row>
      <xdr:rowOff>135082</xdr:rowOff>
    </xdr:from>
    <xdr:to>
      <xdr:col>3</xdr:col>
      <xdr:colOff>1104900</xdr:colOff>
      <xdr:row>24</xdr:row>
      <xdr:rowOff>135082</xdr:rowOff>
    </xdr:to>
    <xdr:cxnSp macro="">
      <xdr:nvCxnSpPr>
        <xdr:cNvPr id="19" name="Conector reto 18"/>
        <xdr:cNvCxnSpPr/>
      </xdr:nvCxnSpPr>
      <xdr:spPr>
        <a:xfrm>
          <a:off x="5460423" y="7157605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183572</xdr:colOff>
      <xdr:row>25</xdr:row>
      <xdr:rowOff>131619</xdr:rowOff>
    </xdr:from>
    <xdr:to>
      <xdr:col>3</xdr:col>
      <xdr:colOff>1127413</xdr:colOff>
      <xdr:row>25</xdr:row>
      <xdr:rowOff>131619</xdr:rowOff>
    </xdr:to>
    <xdr:cxnSp macro="">
      <xdr:nvCxnSpPr>
        <xdr:cNvPr id="20" name="Conector reto 19"/>
        <xdr:cNvCxnSpPr/>
      </xdr:nvCxnSpPr>
      <xdr:spPr>
        <a:xfrm>
          <a:off x="5482936" y="7535142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136813</xdr:colOff>
      <xdr:row>26</xdr:row>
      <xdr:rowOff>110838</xdr:rowOff>
    </xdr:from>
    <xdr:to>
      <xdr:col>5</xdr:col>
      <xdr:colOff>1080654</xdr:colOff>
      <xdr:row>26</xdr:row>
      <xdr:rowOff>110838</xdr:rowOff>
    </xdr:to>
    <xdr:cxnSp macro="">
      <xdr:nvCxnSpPr>
        <xdr:cNvPr id="21" name="Conector reto 20"/>
        <xdr:cNvCxnSpPr/>
      </xdr:nvCxnSpPr>
      <xdr:spPr>
        <a:xfrm>
          <a:off x="7929995" y="7895361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219940</xdr:colOff>
      <xdr:row>27</xdr:row>
      <xdr:rowOff>142011</xdr:rowOff>
    </xdr:from>
    <xdr:to>
      <xdr:col>4</xdr:col>
      <xdr:colOff>1163781</xdr:colOff>
      <xdr:row>27</xdr:row>
      <xdr:rowOff>142011</xdr:rowOff>
    </xdr:to>
    <xdr:cxnSp macro="">
      <xdr:nvCxnSpPr>
        <xdr:cNvPr id="22" name="Conector reto 21"/>
        <xdr:cNvCxnSpPr/>
      </xdr:nvCxnSpPr>
      <xdr:spPr>
        <a:xfrm>
          <a:off x="6748895" y="8307534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155863</xdr:colOff>
      <xdr:row>28</xdr:row>
      <xdr:rowOff>129888</xdr:rowOff>
    </xdr:from>
    <xdr:to>
      <xdr:col>5</xdr:col>
      <xdr:colOff>1099704</xdr:colOff>
      <xdr:row>28</xdr:row>
      <xdr:rowOff>129888</xdr:rowOff>
    </xdr:to>
    <xdr:cxnSp macro="">
      <xdr:nvCxnSpPr>
        <xdr:cNvPr id="23" name="Conector reto 22"/>
        <xdr:cNvCxnSpPr/>
      </xdr:nvCxnSpPr>
      <xdr:spPr>
        <a:xfrm>
          <a:off x="7949045" y="8676411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161058</xdr:colOff>
      <xdr:row>29</xdr:row>
      <xdr:rowOff>117765</xdr:rowOff>
    </xdr:from>
    <xdr:to>
      <xdr:col>5</xdr:col>
      <xdr:colOff>1104899</xdr:colOff>
      <xdr:row>29</xdr:row>
      <xdr:rowOff>117765</xdr:rowOff>
    </xdr:to>
    <xdr:cxnSp macro="">
      <xdr:nvCxnSpPr>
        <xdr:cNvPr id="24" name="Conector reto 23"/>
        <xdr:cNvCxnSpPr/>
      </xdr:nvCxnSpPr>
      <xdr:spPr>
        <a:xfrm>
          <a:off x="7954240" y="9045288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130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130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130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130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476251</xdr:colOff>
      <xdr:row>0</xdr:row>
      <xdr:rowOff>121227</xdr:rowOff>
    </xdr:from>
    <xdr:to>
      <xdr:col>8</xdr:col>
      <xdr:colOff>103909</xdr:colOff>
      <xdr:row>5</xdr:row>
      <xdr:rowOff>167949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87" y="121227"/>
          <a:ext cx="7966363" cy="15014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PAULO/PROJETO%20REFORMA%202022/TTE_EMEB%20PAULO%20SOUZA%20ALVES_OR&#199;_R01_PREFEITU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>
        <row r="4">
          <cell r="E4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F39"/>
  <sheetViews>
    <sheetView topLeftCell="A29" zoomScale="110" zoomScaleNormal="110" workbookViewId="0">
      <selection activeCell="B39" sqref="A1:F39"/>
    </sheetView>
  </sheetViews>
  <sheetFormatPr defaultRowHeight="15" x14ac:dyDescent="0.25"/>
  <cols>
    <col min="1" max="1" width="9.140625" style="102"/>
    <col min="2" max="2" width="53.85546875" style="2" customWidth="1"/>
    <col min="3" max="3" width="16.42578125" style="2" customWidth="1"/>
    <col min="4" max="4" width="18.42578125" customWidth="1"/>
    <col min="5" max="5" width="19" customWidth="1"/>
    <col min="6" max="6" width="18.7109375" customWidth="1"/>
    <col min="7" max="7" width="17.42578125" customWidth="1"/>
  </cols>
  <sheetData>
    <row r="5" spans="1:6" ht="54.75" customHeight="1" x14ac:dyDescent="0.25">
      <c r="A5" s="74"/>
      <c r="B5" s="17"/>
      <c r="C5" s="20"/>
      <c r="D5" s="10"/>
    </row>
    <row r="6" spans="1:6" x14ac:dyDescent="0.25">
      <c r="A6" s="74"/>
      <c r="B6" s="17"/>
      <c r="C6" s="21"/>
      <c r="D6" s="11"/>
    </row>
    <row r="7" spans="1:6" x14ac:dyDescent="0.25">
      <c r="A7" s="74"/>
      <c r="B7" s="17"/>
      <c r="C7" s="23"/>
      <c r="D7" s="12"/>
    </row>
    <row r="8" spans="1:6" ht="18" customHeight="1" x14ac:dyDescent="0.25">
      <c r="A8" s="120" t="s">
        <v>337</v>
      </c>
      <c r="B8" s="120"/>
      <c r="C8" s="120"/>
      <c r="D8" s="1"/>
    </row>
    <row r="9" spans="1:6" ht="15.75" x14ac:dyDescent="0.25">
      <c r="A9" s="24" t="s">
        <v>130</v>
      </c>
      <c r="B9" s="24"/>
      <c r="C9" s="115"/>
      <c r="D9" s="5"/>
    </row>
    <row r="10" spans="1:6" x14ac:dyDescent="0.25">
      <c r="A10" s="121" t="s">
        <v>131</v>
      </c>
      <c r="B10" s="121"/>
      <c r="C10" s="116"/>
      <c r="D10" s="5"/>
    </row>
    <row r="11" spans="1:6" x14ac:dyDescent="0.25">
      <c r="A11" s="14"/>
      <c r="B11" s="18"/>
      <c r="C11" s="18"/>
      <c r="D11" s="6"/>
    </row>
    <row r="12" spans="1:6" x14ac:dyDescent="0.25">
      <c r="A12" s="14"/>
      <c r="B12" s="18"/>
      <c r="C12" s="18"/>
      <c r="D12" s="6"/>
    </row>
    <row r="13" spans="1:6" x14ac:dyDescent="0.25">
      <c r="A13" s="122" t="s">
        <v>2</v>
      </c>
      <c r="B13" s="122" t="s">
        <v>4</v>
      </c>
      <c r="C13" s="122" t="s">
        <v>9</v>
      </c>
      <c r="D13" s="119" t="s">
        <v>126</v>
      </c>
      <c r="E13" s="119" t="s">
        <v>127</v>
      </c>
      <c r="F13" s="119" t="s">
        <v>128</v>
      </c>
    </row>
    <row r="14" spans="1:6" x14ac:dyDescent="0.25">
      <c r="A14" s="122"/>
      <c r="B14" s="122"/>
      <c r="C14" s="122"/>
      <c r="D14" s="119"/>
      <c r="E14" s="119"/>
      <c r="F14" s="119"/>
    </row>
    <row r="15" spans="1:6" ht="30" customHeight="1" x14ac:dyDescent="0.25">
      <c r="A15" s="108" t="s">
        <v>99</v>
      </c>
      <c r="B15" s="109" t="s">
        <v>147</v>
      </c>
      <c r="C15" s="110">
        <f>Planilha1!I15</f>
        <v>64079.245435471996</v>
      </c>
      <c r="D15" s="112">
        <f>C15</f>
        <v>64079.245435471996</v>
      </c>
      <c r="E15" s="111"/>
      <c r="F15" s="111"/>
    </row>
    <row r="16" spans="1:6" ht="30" customHeight="1" x14ac:dyDescent="0.25">
      <c r="A16" s="103" t="s">
        <v>72</v>
      </c>
      <c r="B16" s="106" t="s">
        <v>148</v>
      </c>
      <c r="C16" s="105">
        <f>Planilha1!I28</f>
        <v>21616.327496179096</v>
      </c>
      <c r="D16" s="112">
        <f>C16</f>
        <v>21616.327496179096</v>
      </c>
      <c r="E16" s="111"/>
      <c r="F16" s="111"/>
    </row>
    <row r="17" spans="1:6" ht="30" customHeight="1" x14ac:dyDescent="0.25">
      <c r="A17" s="103" t="s">
        <v>24</v>
      </c>
      <c r="B17" s="107" t="s">
        <v>155</v>
      </c>
      <c r="C17" s="105">
        <f>Planilha1!I41</f>
        <v>41538.3260424775</v>
      </c>
      <c r="D17" s="112"/>
      <c r="E17" s="112">
        <f>C17</f>
        <v>41538.3260424775</v>
      </c>
      <c r="F17" s="111"/>
    </row>
    <row r="18" spans="1:6" ht="30" customHeight="1" x14ac:dyDescent="0.25">
      <c r="A18" s="103" t="s">
        <v>28</v>
      </c>
      <c r="B18" s="104" t="s">
        <v>169</v>
      </c>
      <c r="C18" s="105">
        <f>Planilha1!I53</f>
        <v>28778.786098085999</v>
      </c>
      <c r="D18" s="111"/>
      <c r="E18" s="111"/>
      <c r="F18" s="112">
        <f>C18</f>
        <v>28778.786098085999</v>
      </c>
    </row>
    <row r="19" spans="1:6" ht="30" customHeight="1" x14ac:dyDescent="0.25">
      <c r="A19" s="103" t="s">
        <v>31</v>
      </c>
      <c r="B19" s="104" t="s">
        <v>172</v>
      </c>
      <c r="C19" s="105">
        <f>Planilha1!I63</f>
        <v>2492.8689947742</v>
      </c>
      <c r="D19" s="111"/>
      <c r="E19" s="112">
        <f>C19</f>
        <v>2492.8689947742</v>
      </c>
      <c r="F19" s="111"/>
    </row>
    <row r="20" spans="1:6" ht="30" customHeight="1" x14ac:dyDescent="0.25">
      <c r="A20" s="103" t="s">
        <v>35</v>
      </c>
      <c r="B20" s="104" t="s">
        <v>174</v>
      </c>
      <c r="C20" s="105">
        <f>Planilha1!I67</f>
        <v>1496.8724291999997</v>
      </c>
      <c r="D20" s="111"/>
      <c r="E20" s="112">
        <f>C20</f>
        <v>1496.8724291999997</v>
      </c>
      <c r="F20" s="111"/>
    </row>
    <row r="21" spans="1:6" ht="30" customHeight="1" x14ac:dyDescent="0.25">
      <c r="A21" s="103" t="s">
        <v>39</v>
      </c>
      <c r="B21" s="104" t="s">
        <v>178</v>
      </c>
      <c r="C21" s="105">
        <f>Planilha1!I71</f>
        <v>12961.75010628</v>
      </c>
      <c r="D21" s="112"/>
      <c r="E21" s="112">
        <f>C21</f>
        <v>12961.75010628</v>
      </c>
      <c r="F21" s="111"/>
    </row>
    <row r="22" spans="1:6" ht="30" customHeight="1" x14ac:dyDescent="0.25">
      <c r="A22" s="103" t="s">
        <v>41</v>
      </c>
      <c r="B22" s="104" t="s">
        <v>188</v>
      </c>
      <c r="C22" s="105">
        <f>Planilha1!I80</f>
        <v>1134.3239983199999</v>
      </c>
      <c r="D22" s="112">
        <f>C22</f>
        <v>1134.3239983199999</v>
      </c>
      <c r="E22" s="111"/>
      <c r="F22" s="111"/>
    </row>
    <row r="23" spans="1:6" ht="30" customHeight="1" x14ac:dyDescent="0.25">
      <c r="A23" s="103" t="s">
        <v>46</v>
      </c>
      <c r="B23" s="104" t="s">
        <v>191</v>
      </c>
      <c r="C23" s="105">
        <f>Planilha1!I88</f>
        <v>194.02885358999998</v>
      </c>
      <c r="D23" s="112">
        <f>C23</f>
        <v>194.02885358999998</v>
      </c>
      <c r="E23" s="111"/>
      <c r="F23" s="111"/>
    </row>
    <row r="24" spans="1:6" ht="30" customHeight="1" x14ac:dyDescent="0.25">
      <c r="A24" s="103" t="s">
        <v>51</v>
      </c>
      <c r="B24" s="104" t="s">
        <v>196</v>
      </c>
      <c r="C24" s="105">
        <f>Planilha1!I93</f>
        <v>459.11553600000002</v>
      </c>
      <c r="D24" s="112">
        <f>C24</f>
        <v>459.11553600000002</v>
      </c>
      <c r="E24" s="111"/>
      <c r="F24" s="111"/>
    </row>
    <row r="25" spans="1:6" ht="30" customHeight="1" x14ac:dyDescent="0.25">
      <c r="A25" s="103" t="s">
        <v>58</v>
      </c>
      <c r="B25" s="104" t="s">
        <v>201</v>
      </c>
      <c r="C25" s="105">
        <f>Planilha1!I98</f>
        <v>43.018506024999994</v>
      </c>
      <c r="D25" s="112">
        <f>C25</f>
        <v>43.018506024999994</v>
      </c>
      <c r="E25" s="111"/>
      <c r="F25" s="111"/>
    </row>
    <row r="26" spans="1:6" ht="30" customHeight="1" x14ac:dyDescent="0.25">
      <c r="A26" s="103" t="s">
        <v>59</v>
      </c>
      <c r="B26" s="104" t="s">
        <v>203</v>
      </c>
      <c r="C26" s="105">
        <f>Planilha1!I103</f>
        <v>5298.1510663568997</v>
      </c>
      <c r="D26" s="112">
        <f>C26</f>
        <v>5298.1510663568997</v>
      </c>
      <c r="E26" s="112"/>
      <c r="F26" s="111"/>
    </row>
    <row r="27" spans="1:6" ht="30" customHeight="1" x14ac:dyDescent="0.25">
      <c r="A27" s="103" t="s">
        <v>62</v>
      </c>
      <c r="B27" s="104" t="s">
        <v>207</v>
      </c>
      <c r="C27" s="105">
        <f>Planilha1!I109</f>
        <v>10177.526433999999</v>
      </c>
      <c r="D27" s="111"/>
      <c r="E27" s="111"/>
      <c r="F27" s="112">
        <f>C27</f>
        <v>10177.526433999999</v>
      </c>
    </row>
    <row r="28" spans="1:6" ht="30" customHeight="1" x14ac:dyDescent="0.25">
      <c r="A28" s="103" t="s">
        <v>68</v>
      </c>
      <c r="B28" s="104" t="s">
        <v>32</v>
      </c>
      <c r="C28" s="105">
        <f>Planilha1!I112</f>
        <v>8071.1533918200003</v>
      </c>
      <c r="D28" s="111"/>
      <c r="E28" s="112">
        <f>C28</f>
        <v>8071.1533918200003</v>
      </c>
      <c r="F28" s="111"/>
    </row>
    <row r="29" spans="1:6" ht="30" customHeight="1" x14ac:dyDescent="0.25">
      <c r="A29" s="103" t="s">
        <v>82</v>
      </c>
      <c r="B29" s="104" t="s">
        <v>79</v>
      </c>
      <c r="C29" s="105">
        <f>Planilha1!I119</f>
        <v>15745.846091337999</v>
      </c>
      <c r="D29" s="111"/>
      <c r="E29" s="111"/>
      <c r="F29" s="112">
        <f>C29</f>
        <v>15745.846091337999</v>
      </c>
    </row>
    <row r="30" spans="1:6" ht="30" customHeight="1" x14ac:dyDescent="0.25">
      <c r="A30" s="103" t="s">
        <v>84</v>
      </c>
      <c r="B30" s="104" t="s">
        <v>80</v>
      </c>
      <c r="C30" s="105">
        <f>Planilha1!I126</f>
        <v>16639.478794404</v>
      </c>
      <c r="D30" s="111"/>
      <c r="E30" s="111"/>
      <c r="F30" s="112">
        <f>C30</f>
        <v>16639.478794404</v>
      </c>
    </row>
    <row r="31" spans="1:6" ht="29.25" customHeight="1" x14ac:dyDescent="0.25">
      <c r="A31" s="80"/>
      <c r="B31" s="8"/>
      <c r="C31" s="9">
        <f>C30+C29+C28+C27+C26+C25+C24+C23+C22+C21+C20+C19+C18+C17+C16+C15</f>
        <v>230726.81927432265</v>
      </c>
      <c r="D31" s="113">
        <f>SUM(D15:D30)</f>
        <v>92824.210891942988</v>
      </c>
      <c r="E31" s="113">
        <f>SUM(E15:E30)</f>
        <v>66560.9709645517</v>
      </c>
      <c r="F31" s="113">
        <f>SUM(F15:F30)</f>
        <v>71341.637417827995</v>
      </c>
    </row>
    <row r="33" spans="2:6" x14ac:dyDescent="0.25">
      <c r="C33" s="102"/>
      <c r="E33" s="114"/>
    </row>
    <row r="34" spans="2:6" x14ac:dyDescent="0.25">
      <c r="B34" s="118" t="s">
        <v>343</v>
      </c>
      <c r="C34" s="118"/>
      <c r="D34" s="118"/>
      <c r="E34" s="118"/>
      <c r="F34" s="118"/>
    </row>
    <row r="35" spans="2:6" x14ac:dyDescent="0.25">
      <c r="B35" s="118"/>
      <c r="C35" s="118"/>
      <c r="D35" s="118"/>
      <c r="E35" s="118"/>
      <c r="F35" s="118"/>
    </row>
    <row r="36" spans="2:6" x14ac:dyDescent="0.25">
      <c r="B36" s="118" t="s">
        <v>326</v>
      </c>
      <c r="C36" s="118"/>
      <c r="D36" s="118"/>
      <c r="E36" s="118"/>
      <c r="F36" s="118"/>
    </row>
    <row r="37" spans="2:6" x14ac:dyDescent="0.25">
      <c r="B37" s="118" t="s">
        <v>327</v>
      </c>
      <c r="C37" s="118"/>
      <c r="D37" s="118"/>
      <c r="E37" s="118"/>
      <c r="F37" s="118"/>
    </row>
    <row r="38" spans="2:6" x14ac:dyDescent="0.25">
      <c r="B38" s="118" t="s">
        <v>328</v>
      </c>
      <c r="C38" s="118"/>
      <c r="D38" s="118"/>
      <c r="E38" s="118"/>
      <c r="F38" s="118"/>
    </row>
    <row r="39" spans="2:6" x14ac:dyDescent="0.25">
      <c r="B39" s="118" t="s">
        <v>329</v>
      </c>
      <c r="C39" s="118"/>
      <c r="D39" s="118"/>
      <c r="E39" s="118"/>
      <c r="F39" s="118"/>
    </row>
  </sheetData>
  <mergeCells count="14">
    <mergeCell ref="B39:F39"/>
    <mergeCell ref="F13:F14"/>
    <mergeCell ref="A8:C8"/>
    <mergeCell ref="A10:B10"/>
    <mergeCell ref="A13:A14"/>
    <mergeCell ref="B13:B14"/>
    <mergeCell ref="C13:C14"/>
    <mergeCell ref="D13:D14"/>
    <mergeCell ref="E13:E14"/>
    <mergeCell ref="B34:F34"/>
    <mergeCell ref="B35:F35"/>
    <mergeCell ref="B36:F36"/>
    <mergeCell ref="B37:F37"/>
    <mergeCell ref="B38:F38"/>
  </mergeCells>
  <conditionalFormatting sqref="A15:A17 B15:B16 C15:C30 A29">
    <cfRule type="expression" dxfId="365" priority="229">
      <formula>IF($F15="I",TRUE,FALSE)</formula>
    </cfRule>
    <cfRule type="expression" dxfId="364" priority="230">
      <formula>IF($F15="T",TRUE,FALSE)</formula>
    </cfRule>
  </conditionalFormatting>
  <conditionalFormatting sqref="A18">
    <cfRule type="expression" dxfId="363" priority="167">
      <formula>IF($F18="I",TRUE,FALSE)</formula>
    </cfRule>
    <cfRule type="expression" dxfId="362" priority="168">
      <formula>IF($F18="T",TRUE,FALSE)</formula>
    </cfRule>
  </conditionalFormatting>
  <conditionalFormatting sqref="A19">
    <cfRule type="expression" dxfId="361" priority="163">
      <formula>IF($F19="I",TRUE,FALSE)</formula>
    </cfRule>
    <cfRule type="expression" dxfId="360" priority="164">
      <formula>IF($F19="T",TRUE,FALSE)</formula>
    </cfRule>
  </conditionalFormatting>
  <conditionalFormatting sqref="A20">
    <cfRule type="expression" dxfId="359" priority="156">
      <formula>IF($F20="I",TRUE,FALSE)</formula>
    </cfRule>
    <cfRule type="expression" dxfId="358" priority="157">
      <formula>IF($F20="T",TRUE,FALSE)</formula>
    </cfRule>
  </conditionalFormatting>
  <conditionalFormatting sqref="A21">
    <cfRule type="expression" dxfId="357" priority="142">
      <formula>IF($F21="I",TRUE,FALSE)</formula>
    </cfRule>
    <cfRule type="expression" dxfId="356" priority="143">
      <formula>IF($F21="T",TRUE,FALSE)</formula>
    </cfRule>
  </conditionalFormatting>
  <conditionalFormatting sqref="A22">
    <cfRule type="expression" dxfId="355" priority="133">
      <formula>IF($F22="I",TRUE,FALSE)</formula>
    </cfRule>
    <cfRule type="expression" dxfId="354" priority="134">
      <formula>IF($F22="T",TRUE,FALSE)</formula>
    </cfRule>
  </conditionalFormatting>
  <conditionalFormatting sqref="A26">
    <cfRule type="expression" dxfId="353" priority="97">
      <formula>IF($F26="I",TRUE,FALSE)</formula>
    </cfRule>
    <cfRule type="expression" dxfId="352" priority="98">
      <formula>IF($F26="T",TRUE,FALSE)</formula>
    </cfRule>
  </conditionalFormatting>
  <conditionalFormatting sqref="A23">
    <cfRule type="expression" dxfId="351" priority="119">
      <formula>IF($F23="I",TRUE,FALSE)</formula>
    </cfRule>
    <cfRule type="expression" dxfId="350" priority="120">
      <formula>IF($F23="T",TRUE,FALSE)</formula>
    </cfRule>
  </conditionalFormatting>
  <conditionalFormatting sqref="A24">
    <cfRule type="expression" dxfId="349" priority="110">
      <formula>IF($F24="I",TRUE,FALSE)</formula>
    </cfRule>
    <cfRule type="expression" dxfId="348" priority="111">
      <formula>IF($F24="T",TRUE,FALSE)</formula>
    </cfRule>
  </conditionalFormatting>
  <conditionalFormatting sqref="A25">
    <cfRule type="expression" dxfId="347" priority="104">
      <formula>IF($F25="I",TRUE,FALSE)</formula>
    </cfRule>
    <cfRule type="expression" dxfId="346" priority="105">
      <formula>IF($F25="T",TRUE,FALSE)</formula>
    </cfRule>
  </conditionalFormatting>
  <conditionalFormatting sqref="A27">
    <cfRule type="expression" dxfId="345" priority="74">
      <formula>IF($F27="I",TRUE,FALSE)</formula>
    </cfRule>
    <cfRule type="expression" dxfId="344" priority="75">
      <formula>IF($F27="T",TRUE,FALSE)</formula>
    </cfRule>
  </conditionalFormatting>
  <conditionalFormatting sqref="A28">
    <cfRule type="expression" dxfId="343" priority="68">
      <formula>IF($F28="I",TRUE,FALSE)</formula>
    </cfRule>
    <cfRule type="expression" dxfId="342" priority="69">
      <formula>IF($F28="T",TRUE,FALSE)</formula>
    </cfRule>
  </conditionalFormatting>
  <conditionalFormatting sqref="A30">
    <cfRule type="expression" dxfId="341" priority="50">
      <formula>IF($F30="I",TRUE,FALSE)</formula>
    </cfRule>
    <cfRule type="expression" dxfId="340" priority="51">
      <formula>IF($F30="T",TRUE,FALSE)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74" fitToHeight="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139"/>
  <sheetViews>
    <sheetView topLeftCell="A124" zoomScale="110" zoomScaleNormal="110" workbookViewId="0">
      <selection activeCell="E134" sqref="E134:I139"/>
    </sheetView>
  </sheetViews>
  <sheetFormatPr defaultRowHeight="15" x14ac:dyDescent="0.25"/>
  <cols>
    <col min="1" max="1" width="9.140625" style="31"/>
    <col min="2" max="2" width="10.85546875" style="4" bestFit="1" customWidth="1"/>
    <col min="3" max="3" width="10.85546875" style="4" customWidth="1"/>
    <col min="4" max="4" width="55.7109375" style="2" customWidth="1"/>
    <col min="5" max="5" width="9.140625" style="2"/>
    <col min="6" max="6" width="9.140625" style="4"/>
    <col min="7" max="7" width="14.5703125" style="2" customWidth="1"/>
    <col min="8" max="8" width="14.85546875" style="2" customWidth="1"/>
    <col min="9" max="9" width="16.42578125" style="2" customWidth="1"/>
    <col min="11" max="11" width="12.28515625" bestFit="1" customWidth="1"/>
  </cols>
  <sheetData>
    <row r="5" spans="1:10" ht="54.75" customHeight="1" x14ac:dyDescent="0.25">
      <c r="A5" s="74"/>
      <c r="B5" s="14"/>
      <c r="C5" s="14"/>
      <c r="D5" s="17"/>
      <c r="E5" s="18"/>
      <c r="F5" s="14"/>
      <c r="G5" s="124"/>
      <c r="H5" s="19"/>
      <c r="I5" s="20"/>
      <c r="J5" s="10"/>
    </row>
    <row r="6" spans="1:10" x14ac:dyDescent="0.25">
      <c r="A6" s="74"/>
      <c r="B6" s="14"/>
      <c r="C6" s="14"/>
      <c r="D6" s="17"/>
      <c r="E6" s="18"/>
      <c r="F6" s="14"/>
      <c r="G6" s="124"/>
      <c r="H6" s="19"/>
      <c r="I6" s="21"/>
      <c r="J6" s="11"/>
    </row>
    <row r="7" spans="1:10" x14ac:dyDescent="0.25">
      <c r="A7" s="74"/>
      <c r="B7" s="14"/>
      <c r="C7" s="14"/>
      <c r="D7" s="17"/>
      <c r="E7" s="18"/>
      <c r="F7" s="14"/>
      <c r="G7" s="124"/>
      <c r="H7" s="22"/>
      <c r="I7" s="23"/>
      <c r="J7" s="12"/>
    </row>
    <row r="8" spans="1:10" ht="18" customHeight="1" x14ac:dyDescent="0.25">
      <c r="A8" s="120" t="s">
        <v>97</v>
      </c>
      <c r="B8" s="120"/>
      <c r="C8" s="120"/>
      <c r="D8" s="120"/>
      <c r="E8" s="120"/>
      <c r="F8" s="120"/>
      <c r="G8" s="120"/>
      <c r="H8" s="120"/>
      <c r="I8" s="120"/>
      <c r="J8" s="1"/>
    </row>
    <row r="9" spans="1:10" ht="15.75" x14ac:dyDescent="0.25">
      <c r="A9" s="126" t="s">
        <v>130</v>
      </c>
      <c r="B9" s="126"/>
      <c r="C9" s="126"/>
      <c r="D9" s="126"/>
      <c r="E9" s="25"/>
      <c r="F9" s="15"/>
      <c r="G9" s="125" t="s">
        <v>50</v>
      </c>
      <c r="H9" s="34" t="s">
        <v>129</v>
      </c>
      <c r="I9" s="98">
        <v>45352</v>
      </c>
      <c r="J9" s="5"/>
    </row>
    <row r="10" spans="1:10" x14ac:dyDescent="0.25">
      <c r="A10" s="121" t="s">
        <v>131</v>
      </c>
      <c r="B10" s="121"/>
      <c r="C10" s="121"/>
      <c r="D10" s="121"/>
      <c r="E10" s="26"/>
      <c r="F10" s="27"/>
      <c r="G10" s="125"/>
      <c r="H10" s="81" t="s">
        <v>10</v>
      </c>
      <c r="I10" s="99" t="s">
        <v>338</v>
      </c>
      <c r="J10" s="5"/>
    </row>
    <row r="11" spans="1:10" x14ac:dyDescent="0.25">
      <c r="A11" s="14"/>
      <c r="B11" s="14"/>
      <c r="C11" s="14"/>
      <c r="D11" s="18"/>
      <c r="E11" s="18"/>
      <c r="F11" s="28"/>
      <c r="G11" s="29" t="s">
        <v>1</v>
      </c>
      <c r="H11" s="100">
        <v>0.22470000000000001</v>
      </c>
      <c r="I11" s="18"/>
      <c r="J11" s="6"/>
    </row>
    <row r="12" spans="1:10" x14ac:dyDescent="0.25">
      <c r="A12" s="14"/>
      <c r="B12" s="14"/>
      <c r="C12" s="14"/>
      <c r="D12" s="18"/>
      <c r="E12" s="18"/>
      <c r="F12" s="28"/>
      <c r="G12" s="29" t="s">
        <v>0</v>
      </c>
      <c r="H12" s="101">
        <v>45292</v>
      </c>
      <c r="I12" s="18"/>
      <c r="J12" s="6"/>
    </row>
    <row r="14" spans="1:10" x14ac:dyDescent="0.25">
      <c r="A14" s="16" t="s">
        <v>2</v>
      </c>
      <c r="B14" s="16" t="s">
        <v>3</v>
      </c>
      <c r="C14" s="16" t="s">
        <v>89</v>
      </c>
      <c r="D14" s="16" t="s">
        <v>4</v>
      </c>
      <c r="E14" s="16" t="s">
        <v>5</v>
      </c>
      <c r="F14" s="16" t="s">
        <v>6</v>
      </c>
      <c r="G14" s="16" t="s">
        <v>7</v>
      </c>
      <c r="H14" s="16" t="s">
        <v>8</v>
      </c>
      <c r="I14" s="16" t="s">
        <v>9</v>
      </c>
    </row>
    <row r="15" spans="1:10" ht="15" customHeight="1" x14ac:dyDescent="0.25">
      <c r="A15" s="75" t="s">
        <v>99</v>
      </c>
      <c r="B15" s="35"/>
      <c r="C15" s="35"/>
      <c r="D15" s="36" t="s">
        <v>147</v>
      </c>
      <c r="E15" s="37"/>
      <c r="F15" s="38"/>
      <c r="G15" s="39"/>
      <c r="H15" s="39"/>
      <c r="I15" s="40">
        <f>SUM(I16:I27)</f>
        <v>64079.245435471996</v>
      </c>
    </row>
    <row r="16" spans="1:10" ht="25.5" x14ac:dyDescent="0.25">
      <c r="A16" s="46" t="s">
        <v>100</v>
      </c>
      <c r="B16" s="59">
        <v>97647</v>
      </c>
      <c r="C16" s="60" t="s">
        <v>133</v>
      </c>
      <c r="D16" s="61" t="s">
        <v>132</v>
      </c>
      <c r="E16" s="42" t="s">
        <v>22</v>
      </c>
      <c r="F16" s="43">
        <f>'memória de cálculo'!D4</f>
        <v>201.64</v>
      </c>
      <c r="G16" s="44">
        <v>4.55</v>
      </c>
      <c r="H16" s="62">
        <f>G16*(1+$H$11)</f>
        <v>5.5723849999999997</v>
      </c>
      <c r="I16" s="45">
        <f t="shared" ref="I16:I20" si="0">H16*F16</f>
        <v>1123.6157113999998</v>
      </c>
    </row>
    <row r="17" spans="1:9" ht="25.5" x14ac:dyDescent="0.25">
      <c r="A17" s="42" t="s">
        <v>101</v>
      </c>
      <c r="B17" s="63">
        <v>97650</v>
      </c>
      <c r="C17" s="60" t="s">
        <v>133</v>
      </c>
      <c r="D17" s="64" t="s">
        <v>137</v>
      </c>
      <c r="E17" s="42" t="s">
        <v>22</v>
      </c>
      <c r="F17" s="43">
        <f>'memória de cálculo'!D5</f>
        <v>44</v>
      </c>
      <c r="G17" s="44">
        <v>9.82</v>
      </c>
      <c r="H17" s="62">
        <f t="shared" ref="H17:H19" si="1">G17*(1+$H$11)</f>
        <v>12.026553999999999</v>
      </c>
      <c r="I17" s="45">
        <f>H17*F17</f>
        <v>529.16837599999997</v>
      </c>
    </row>
    <row r="18" spans="1:9" ht="25.5" x14ac:dyDescent="0.25">
      <c r="A18" s="50" t="s">
        <v>102</v>
      </c>
      <c r="B18" s="59">
        <v>97626</v>
      </c>
      <c r="C18" s="59" t="s">
        <v>133</v>
      </c>
      <c r="D18" s="61" t="s">
        <v>140</v>
      </c>
      <c r="E18" s="46" t="s">
        <v>23</v>
      </c>
      <c r="F18" s="47">
        <f>'memória de cálculo'!D6</f>
        <v>0.36</v>
      </c>
      <c r="G18" s="48">
        <v>737.43</v>
      </c>
      <c r="H18" s="62">
        <f t="shared" si="1"/>
        <v>903.13052099999982</v>
      </c>
      <c r="I18" s="45">
        <f t="shared" ref="I18:I19" si="2">H18*F18</f>
        <v>325.12698755999992</v>
      </c>
    </row>
    <row r="19" spans="1:9" ht="25.5" x14ac:dyDescent="0.25">
      <c r="A19" s="42" t="s">
        <v>103</v>
      </c>
      <c r="B19" s="59">
        <v>4803</v>
      </c>
      <c r="C19" s="59" t="s">
        <v>133</v>
      </c>
      <c r="D19" s="61" t="s">
        <v>141</v>
      </c>
      <c r="E19" s="46" t="s">
        <v>11</v>
      </c>
      <c r="F19" s="47">
        <f>'memória de cálculo'!D7</f>
        <v>7.4</v>
      </c>
      <c r="G19" s="48">
        <v>5.78</v>
      </c>
      <c r="H19" s="62">
        <f t="shared" si="1"/>
        <v>7.0787659999999999</v>
      </c>
      <c r="I19" s="45">
        <f t="shared" si="2"/>
        <v>52.3828684</v>
      </c>
    </row>
    <row r="20" spans="1:9" ht="38.25" x14ac:dyDescent="0.25">
      <c r="A20" s="76" t="s">
        <v>104</v>
      </c>
      <c r="B20" s="46" t="s">
        <v>135</v>
      </c>
      <c r="C20" s="46" t="s">
        <v>10</v>
      </c>
      <c r="D20" s="41" t="s">
        <v>134</v>
      </c>
      <c r="E20" s="46" t="s">
        <v>23</v>
      </c>
      <c r="F20" s="47">
        <f>'memória de cálculo'!D8</f>
        <v>13.5664</v>
      </c>
      <c r="G20" s="48">
        <v>106.9</v>
      </c>
      <c r="H20" s="62">
        <f>G20*(1+$H$11)</f>
        <v>130.92043000000001</v>
      </c>
      <c r="I20" s="49">
        <f t="shared" si="0"/>
        <v>1776.1189215520001</v>
      </c>
    </row>
    <row r="21" spans="1:9" ht="51" x14ac:dyDescent="0.25">
      <c r="A21" s="50" t="s">
        <v>105</v>
      </c>
      <c r="B21" s="59">
        <v>92580</v>
      </c>
      <c r="C21" s="50" t="s">
        <v>133</v>
      </c>
      <c r="D21" s="61" t="s">
        <v>138</v>
      </c>
      <c r="E21" s="50" t="s">
        <v>22</v>
      </c>
      <c r="F21" s="51">
        <f>'memória de cálculo'!D9</f>
        <v>55.9</v>
      </c>
      <c r="G21" s="52">
        <v>48.3</v>
      </c>
      <c r="H21" s="62">
        <f>G21*(1+$H$11)</f>
        <v>59.153009999999995</v>
      </c>
      <c r="I21" s="53">
        <f>H21*F21</f>
        <v>3306.6532589999997</v>
      </c>
    </row>
    <row r="22" spans="1:9" ht="38.25" x14ac:dyDescent="0.25">
      <c r="A22" s="50" t="s">
        <v>106</v>
      </c>
      <c r="B22" s="59">
        <v>92608</v>
      </c>
      <c r="C22" s="59" t="s">
        <v>133</v>
      </c>
      <c r="D22" s="61" t="s">
        <v>139</v>
      </c>
      <c r="E22" s="46" t="s">
        <v>12</v>
      </c>
      <c r="F22" s="47">
        <f>'memória de cálculo'!D10</f>
        <v>2</v>
      </c>
      <c r="G22" s="48">
        <v>1150.74</v>
      </c>
      <c r="H22" s="62">
        <f>G22*(1+$H$11)</f>
        <v>1409.3112779999999</v>
      </c>
      <c r="I22" s="49">
        <f t="shared" ref="I22" si="3">H22*F22</f>
        <v>2818.6225559999998</v>
      </c>
    </row>
    <row r="23" spans="1:9" ht="25.5" x14ac:dyDescent="0.25">
      <c r="A23" s="50" t="s">
        <v>107</v>
      </c>
      <c r="B23" s="59">
        <v>94216</v>
      </c>
      <c r="C23" s="59" t="s">
        <v>133</v>
      </c>
      <c r="D23" s="61" t="s">
        <v>136</v>
      </c>
      <c r="E23" s="46" t="s">
        <v>22</v>
      </c>
      <c r="F23" s="47">
        <f>'memória de cálculo'!D11</f>
        <v>201.64</v>
      </c>
      <c r="G23" s="48">
        <v>190.77</v>
      </c>
      <c r="H23" s="62">
        <f>G23*(1+$H$11)</f>
        <v>233.636019</v>
      </c>
      <c r="I23" s="53">
        <f>H23*F23</f>
        <v>47110.366871159997</v>
      </c>
    </row>
    <row r="24" spans="1:9" ht="25.5" x14ac:dyDescent="0.25">
      <c r="A24" s="50" t="s">
        <v>108</v>
      </c>
      <c r="B24" s="59" t="s">
        <v>305</v>
      </c>
      <c r="C24" s="59" t="s">
        <v>10</v>
      </c>
      <c r="D24" s="61" t="s">
        <v>304</v>
      </c>
      <c r="E24" s="46" t="s">
        <v>11</v>
      </c>
      <c r="F24" s="47">
        <f>'memória de cálculo'!D12</f>
        <v>24.8</v>
      </c>
      <c r="G24" s="48">
        <v>109.06</v>
      </c>
      <c r="H24" s="62">
        <f t="shared" ref="H24:H26" si="4">G24*(1+$H$11)</f>
        <v>133.56578199999998</v>
      </c>
      <c r="I24" s="53">
        <f>H24*F24</f>
        <v>3312.4313935999999</v>
      </c>
    </row>
    <row r="25" spans="1:9" ht="38.25" x14ac:dyDescent="0.25">
      <c r="A25" s="76" t="s">
        <v>109</v>
      </c>
      <c r="B25" s="59">
        <v>94228</v>
      </c>
      <c r="C25" s="59" t="s">
        <v>133</v>
      </c>
      <c r="D25" s="61" t="s">
        <v>145</v>
      </c>
      <c r="E25" s="46" t="s">
        <v>11</v>
      </c>
      <c r="F25" s="47">
        <f>'memória de cálculo'!D13</f>
        <v>21.4</v>
      </c>
      <c r="G25" s="48">
        <v>91.66</v>
      </c>
      <c r="H25" s="62">
        <f t="shared" si="4"/>
        <v>112.25600199999998</v>
      </c>
      <c r="I25" s="49">
        <f t="shared" ref="I25:I27" si="5">H25*F25</f>
        <v>2402.2784427999995</v>
      </c>
    </row>
    <row r="26" spans="1:9" ht="38.25" x14ac:dyDescent="0.25">
      <c r="A26" s="76" t="s">
        <v>110</v>
      </c>
      <c r="B26" s="59">
        <v>89578</v>
      </c>
      <c r="C26" s="59" t="s">
        <v>133</v>
      </c>
      <c r="D26" s="61" t="s">
        <v>339</v>
      </c>
      <c r="E26" s="46" t="s">
        <v>11</v>
      </c>
      <c r="F26" s="47">
        <f>'memória de cálculo'!D14</f>
        <v>25</v>
      </c>
      <c r="G26" s="48">
        <v>25.94</v>
      </c>
      <c r="H26" s="62">
        <f t="shared" si="4"/>
        <v>31.768718</v>
      </c>
      <c r="I26" s="49">
        <f t="shared" si="5"/>
        <v>794.21794999999997</v>
      </c>
    </row>
    <row r="27" spans="1:9" ht="25.5" x14ac:dyDescent="0.25">
      <c r="A27" s="50" t="s">
        <v>340</v>
      </c>
      <c r="B27" s="59">
        <v>100327</v>
      </c>
      <c r="C27" s="60" t="s">
        <v>133</v>
      </c>
      <c r="D27" s="64" t="s">
        <v>144</v>
      </c>
      <c r="E27" s="42" t="s">
        <v>11</v>
      </c>
      <c r="F27" s="43">
        <f>'memória de cálculo'!D15</f>
        <v>7</v>
      </c>
      <c r="G27" s="44">
        <v>61.62</v>
      </c>
      <c r="H27" s="62">
        <f>G27*(1+$H$11)</f>
        <v>75.466013999999987</v>
      </c>
      <c r="I27" s="45">
        <f t="shared" si="5"/>
        <v>528.26209799999992</v>
      </c>
    </row>
    <row r="28" spans="1:9" x14ac:dyDescent="0.25">
      <c r="A28" s="75" t="s">
        <v>72</v>
      </c>
      <c r="B28" s="35"/>
      <c r="C28" s="35"/>
      <c r="D28" s="36" t="s">
        <v>148</v>
      </c>
      <c r="E28" s="37"/>
      <c r="F28" s="38"/>
      <c r="G28" s="39"/>
      <c r="H28" s="39"/>
      <c r="I28" s="40">
        <f>SUM(I29:I40)</f>
        <v>21616.327496179096</v>
      </c>
    </row>
    <row r="29" spans="1:9" ht="25.5" x14ac:dyDescent="0.25">
      <c r="A29" s="50" t="s">
        <v>15</v>
      </c>
      <c r="B29" s="59">
        <v>97622</v>
      </c>
      <c r="C29" s="59" t="s">
        <v>133</v>
      </c>
      <c r="D29" s="61" t="s">
        <v>142</v>
      </c>
      <c r="E29" s="59" t="s">
        <v>23</v>
      </c>
      <c r="F29" s="86">
        <f>'memória de cálculo'!D17</f>
        <v>1.1720625</v>
      </c>
      <c r="G29" s="65">
        <v>73.38</v>
      </c>
      <c r="H29" s="62">
        <f>G29*(1+$H$11)</f>
        <v>89.86848599999999</v>
      </c>
      <c r="I29" s="65">
        <f>H29*F29</f>
        <v>105.33148237237499</v>
      </c>
    </row>
    <row r="30" spans="1:9" ht="25.5" x14ac:dyDescent="0.25">
      <c r="A30" s="50" t="s">
        <v>16</v>
      </c>
      <c r="B30" s="59">
        <v>97647</v>
      </c>
      <c r="C30" s="60" t="s">
        <v>133</v>
      </c>
      <c r="D30" s="61" t="s">
        <v>132</v>
      </c>
      <c r="E30" s="42" t="s">
        <v>22</v>
      </c>
      <c r="F30" s="43">
        <f>'memória de cálculo'!D18</f>
        <v>20.6265</v>
      </c>
      <c r="G30" s="44">
        <v>4.55</v>
      </c>
      <c r="H30" s="62">
        <f>G30*(1+$H$11)</f>
        <v>5.5723849999999997</v>
      </c>
      <c r="I30" s="45">
        <f t="shared" ref="I30" si="6">H30*F30</f>
        <v>114.93879920249999</v>
      </c>
    </row>
    <row r="31" spans="1:9" ht="25.5" x14ac:dyDescent="0.25">
      <c r="A31" s="50" t="s">
        <v>17</v>
      </c>
      <c r="B31" s="63">
        <v>97650</v>
      </c>
      <c r="C31" s="60" t="s">
        <v>133</v>
      </c>
      <c r="D31" s="64" t="s">
        <v>137</v>
      </c>
      <c r="E31" s="42" t="s">
        <v>22</v>
      </c>
      <c r="F31" s="43">
        <f>'memória de cálculo'!D19</f>
        <v>20</v>
      </c>
      <c r="G31" s="44">
        <v>9.82</v>
      </c>
      <c r="H31" s="62">
        <f t="shared" ref="H31" si="7">G31*(1+$H$11)</f>
        <v>12.026553999999999</v>
      </c>
      <c r="I31" s="45">
        <f>H31*F31</f>
        <v>240.53107999999997</v>
      </c>
    </row>
    <row r="32" spans="1:9" ht="38.25" x14ac:dyDescent="0.25">
      <c r="A32" s="50" t="s">
        <v>18</v>
      </c>
      <c r="B32" s="46" t="s">
        <v>135</v>
      </c>
      <c r="C32" s="46" t="s">
        <v>10</v>
      </c>
      <c r="D32" s="41" t="s">
        <v>134</v>
      </c>
      <c r="E32" s="46" t="s">
        <v>23</v>
      </c>
      <c r="F32" s="47">
        <f>'memória de cálculo'!D20</f>
        <v>3.6033875000000002</v>
      </c>
      <c r="G32" s="48">
        <v>106.9</v>
      </c>
      <c r="H32" s="62">
        <f>G32*(1+$H$11)</f>
        <v>130.92043000000001</v>
      </c>
      <c r="I32" s="45">
        <f t="shared" ref="I32:I36" si="8">H32*F32</f>
        <v>471.75704095662508</v>
      </c>
    </row>
    <row r="33" spans="1:9" ht="38.25" x14ac:dyDescent="0.25">
      <c r="A33" s="50" t="s">
        <v>19</v>
      </c>
      <c r="B33" s="46">
        <v>103325</v>
      </c>
      <c r="C33" s="46" t="s">
        <v>133</v>
      </c>
      <c r="D33" s="41" t="s">
        <v>146</v>
      </c>
      <c r="E33" s="46" t="s">
        <v>22</v>
      </c>
      <c r="F33" s="47">
        <f>'memória de cálculo'!D21</f>
        <v>4.26</v>
      </c>
      <c r="G33" s="48">
        <v>84.34</v>
      </c>
      <c r="H33" s="62">
        <f t="shared" ref="H33:H36" si="9">G33*(1+$H$11)</f>
        <v>103.29119799999999</v>
      </c>
      <c r="I33" s="45">
        <f t="shared" si="8"/>
        <v>440.02050347999995</v>
      </c>
    </row>
    <row r="34" spans="1:9" x14ac:dyDescent="0.25">
      <c r="A34" s="50" t="s">
        <v>20</v>
      </c>
      <c r="B34" s="46" t="s">
        <v>57</v>
      </c>
      <c r="C34" s="46" t="s">
        <v>10</v>
      </c>
      <c r="D34" s="41" t="s">
        <v>56</v>
      </c>
      <c r="E34" s="46" t="s">
        <v>23</v>
      </c>
      <c r="F34" s="47">
        <f>'memória de cálculo'!D22</f>
        <v>9.3299999999999994E-2</v>
      </c>
      <c r="G34" s="48">
        <v>1790.01</v>
      </c>
      <c r="H34" s="62">
        <f t="shared" si="9"/>
        <v>2192.2252469999999</v>
      </c>
      <c r="I34" s="45">
        <f t="shared" si="8"/>
        <v>204.53461554509997</v>
      </c>
    </row>
    <row r="35" spans="1:9" ht="38.25" x14ac:dyDescent="0.25">
      <c r="A35" s="50" t="s">
        <v>21</v>
      </c>
      <c r="B35" s="46">
        <v>87893</v>
      </c>
      <c r="C35" s="46" t="s">
        <v>133</v>
      </c>
      <c r="D35" s="41" t="s">
        <v>149</v>
      </c>
      <c r="E35" s="46" t="s">
        <v>22</v>
      </c>
      <c r="F35" s="47">
        <f>'memória de cálculo'!D23</f>
        <v>8.52</v>
      </c>
      <c r="G35" s="48">
        <v>8.19</v>
      </c>
      <c r="H35" s="62">
        <f t="shared" si="9"/>
        <v>10.030292999999999</v>
      </c>
      <c r="I35" s="45">
        <f t="shared" si="8"/>
        <v>85.458096359999985</v>
      </c>
    </row>
    <row r="36" spans="1:9" ht="51" x14ac:dyDescent="0.25">
      <c r="A36" s="50" t="s">
        <v>88</v>
      </c>
      <c r="B36" s="46">
        <v>87792</v>
      </c>
      <c r="C36" s="46" t="s">
        <v>133</v>
      </c>
      <c r="D36" s="41" t="s">
        <v>150</v>
      </c>
      <c r="E36" s="46" t="s">
        <v>22</v>
      </c>
      <c r="F36" s="47">
        <f>'memória de cálculo'!D24</f>
        <v>8.52</v>
      </c>
      <c r="G36" s="48">
        <v>41.91</v>
      </c>
      <c r="H36" s="62">
        <f t="shared" si="9"/>
        <v>51.327176999999992</v>
      </c>
      <c r="I36" s="45">
        <f t="shared" si="8"/>
        <v>437.30754803999992</v>
      </c>
    </row>
    <row r="37" spans="1:9" ht="51" x14ac:dyDescent="0.25">
      <c r="A37" s="50" t="s">
        <v>151</v>
      </c>
      <c r="B37" s="59">
        <v>92580</v>
      </c>
      <c r="C37" s="50" t="s">
        <v>133</v>
      </c>
      <c r="D37" s="61" t="s">
        <v>138</v>
      </c>
      <c r="E37" s="50" t="s">
        <v>22</v>
      </c>
      <c r="F37" s="51">
        <f>'memória de cálculo'!D25</f>
        <v>47.55</v>
      </c>
      <c r="G37" s="52">
        <v>48.3</v>
      </c>
      <c r="H37" s="62">
        <f>G37*(1+$H$11)</f>
        <v>59.153009999999995</v>
      </c>
      <c r="I37" s="53">
        <f>H37*F37</f>
        <v>2812.7256254999998</v>
      </c>
    </row>
    <row r="38" spans="1:9" ht="38.25" x14ac:dyDescent="0.25">
      <c r="A38" s="50" t="s">
        <v>152</v>
      </c>
      <c r="B38" s="59">
        <v>92602</v>
      </c>
      <c r="C38" s="59" t="s">
        <v>133</v>
      </c>
      <c r="D38" s="61" t="s">
        <v>143</v>
      </c>
      <c r="E38" s="46" t="s">
        <v>12</v>
      </c>
      <c r="F38" s="47">
        <f>'memória de cálculo'!D26</f>
        <v>5</v>
      </c>
      <c r="G38" s="48">
        <v>719.63</v>
      </c>
      <c r="H38" s="62">
        <f>G38*(1+$H$11)</f>
        <v>881.33086099999991</v>
      </c>
      <c r="I38" s="49">
        <f t="shared" ref="I38" si="10">H38*F38</f>
        <v>4406.654305</v>
      </c>
    </row>
    <row r="39" spans="1:9" ht="25.5" x14ac:dyDescent="0.25">
      <c r="A39" s="76" t="s">
        <v>153</v>
      </c>
      <c r="B39" s="59">
        <v>94216</v>
      </c>
      <c r="C39" s="59" t="s">
        <v>133</v>
      </c>
      <c r="D39" s="61" t="s">
        <v>136</v>
      </c>
      <c r="E39" s="46" t="s">
        <v>22</v>
      </c>
      <c r="F39" s="47">
        <f>'memória de cálculo'!D27</f>
        <v>48.127499999999998</v>
      </c>
      <c r="G39" s="48">
        <v>190.77</v>
      </c>
      <c r="H39" s="62">
        <f>G39*(1+$H$11)</f>
        <v>233.636019</v>
      </c>
      <c r="I39" s="53">
        <f>H39*F39</f>
        <v>11244.317504422499</v>
      </c>
    </row>
    <row r="40" spans="1:9" ht="25.5" x14ac:dyDescent="0.25">
      <c r="A40" s="50" t="s">
        <v>154</v>
      </c>
      <c r="B40" s="59">
        <v>100327</v>
      </c>
      <c r="C40" s="60" t="s">
        <v>133</v>
      </c>
      <c r="D40" s="64" t="s">
        <v>144</v>
      </c>
      <c r="E40" s="42" t="s">
        <v>11</v>
      </c>
      <c r="F40" s="43">
        <f>'memória de cálculo'!D28</f>
        <v>13.95</v>
      </c>
      <c r="G40" s="44">
        <v>61.62</v>
      </c>
      <c r="H40" s="62">
        <f>G40*(1+$H$11)</f>
        <v>75.466013999999987</v>
      </c>
      <c r="I40" s="45">
        <f t="shared" ref="I40" si="11">H40*F40</f>
        <v>1052.7508952999997</v>
      </c>
    </row>
    <row r="41" spans="1:9" ht="21" customHeight="1" x14ac:dyDescent="0.25">
      <c r="A41" s="77" t="s">
        <v>24</v>
      </c>
      <c r="B41" s="66"/>
      <c r="C41" s="66"/>
      <c r="D41" s="67" t="s">
        <v>155</v>
      </c>
      <c r="E41" s="54"/>
      <c r="F41" s="55"/>
      <c r="G41" s="56"/>
      <c r="H41" s="68"/>
      <c r="I41" s="57">
        <f>SUM(I42:I52)</f>
        <v>41538.3260424775</v>
      </c>
    </row>
    <row r="42" spans="1:9" ht="25.5" x14ac:dyDescent="0.25">
      <c r="A42" s="50" t="s">
        <v>25</v>
      </c>
      <c r="B42" s="59">
        <v>97622</v>
      </c>
      <c r="C42" s="59" t="s">
        <v>133</v>
      </c>
      <c r="D42" s="61" t="s">
        <v>142</v>
      </c>
      <c r="E42" s="59" t="s">
        <v>23</v>
      </c>
      <c r="F42" s="86">
        <f>'memória de cálculo'!D30</f>
        <v>3.1324999999999994</v>
      </c>
      <c r="G42" s="65">
        <v>73.38</v>
      </c>
      <c r="H42" s="62">
        <f>G42*(1+$H$11)</f>
        <v>89.86848599999999</v>
      </c>
      <c r="I42" s="65">
        <f>H42*F42</f>
        <v>281.51303239499993</v>
      </c>
    </row>
    <row r="43" spans="1:9" ht="25.5" x14ac:dyDescent="0.25">
      <c r="A43" s="50" t="s">
        <v>27</v>
      </c>
      <c r="B43" s="59">
        <v>97647</v>
      </c>
      <c r="C43" s="60" t="s">
        <v>133</v>
      </c>
      <c r="D43" s="61" t="s">
        <v>132</v>
      </c>
      <c r="E43" s="42" t="s">
        <v>22</v>
      </c>
      <c r="F43" s="43">
        <f>'memória de cálculo'!D31</f>
        <v>84.846000000000004</v>
      </c>
      <c r="G43" s="44">
        <v>4.55</v>
      </c>
      <c r="H43" s="62">
        <f>G43*(1+$H$11)</f>
        <v>5.5723849999999997</v>
      </c>
      <c r="I43" s="45">
        <f t="shared" ref="I43:I47" si="12">H43*F43</f>
        <v>472.79457771</v>
      </c>
    </row>
    <row r="44" spans="1:9" ht="25.5" x14ac:dyDescent="0.25">
      <c r="A44" s="76" t="s">
        <v>90</v>
      </c>
      <c r="B44" s="63">
        <v>97650</v>
      </c>
      <c r="C44" s="60" t="s">
        <v>133</v>
      </c>
      <c r="D44" s="64" t="s">
        <v>137</v>
      </c>
      <c r="E44" s="42" t="s">
        <v>22</v>
      </c>
      <c r="F44" s="43">
        <f>'memória de cálculo'!D32</f>
        <v>83.234999999999999</v>
      </c>
      <c r="G44" s="44">
        <v>9.82</v>
      </c>
      <c r="H44" s="62">
        <f t="shared" ref="H44:H47" si="13">G44*(1+$H$11)</f>
        <v>12.026553999999999</v>
      </c>
      <c r="I44" s="45">
        <f t="shared" si="12"/>
        <v>1001.0302221899999</v>
      </c>
    </row>
    <row r="45" spans="1:9" ht="25.5" x14ac:dyDescent="0.25">
      <c r="A45" s="50" t="s">
        <v>160</v>
      </c>
      <c r="B45" s="59">
        <v>97642</v>
      </c>
      <c r="C45" s="59" t="s">
        <v>133</v>
      </c>
      <c r="D45" s="61" t="s">
        <v>157</v>
      </c>
      <c r="E45" s="46" t="s">
        <v>22</v>
      </c>
      <c r="F45" s="47">
        <f>'memória de cálculo'!D33</f>
        <v>94</v>
      </c>
      <c r="G45" s="48">
        <v>3.52</v>
      </c>
      <c r="H45" s="62">
        <f t="shared" si="13"/>
        <v>4.3109440000000001</v>
      </c>
      <c r="I45" s="45">
        <f t="shared" si="12"/>
        <v>405.22873600000003</v>
      </c>
    </row>
    <row r="46" spans="1:9" ht="25.5" x14ac:dyDescent="0.25">
      <c r="A46" s="50" t="s">
        <v>161</v>
      </c>
      <c r="B46" s="59">
        <v>97640</v>
      </c>
      <c r="C46" s="59" t="s">
        <v>133</v>
      </c>
      <c r="D46" s="61" t="s">
        <v>158</v>
      </c>
      <c r="E46" s="46" t="s">
        <v>22</v>
      </c>
      <c r="F46" s="47">
        <f>'memória de cálculo'!D34</f>
        <v>94</v>
      </c>
      <c r="G46" s="48">
        <v>2.46</v>
      </c>
      <c r="H46" s="62">
        <f t="shared" si="13"/>
        <v>3.0127619999999995</v>
      </c>
      <c r="I46" s="45">
        <f t="shared" si="12"/>
        <v>283.19962799999996</v>
      </c>
    </row>
    <row r="47" spans="1:9" ht="25.5" x14ac:dyDescent="0.25">
      <c r="A47" s="50" t="s">
        <v>162</v>
      </c>
      <c r="B47" s="59">
        <v>97665</v>
      </c>
      <c r="C47" s="59" t="s">
        <v>133</v>
      </c>
      <c r="D47" s="61" t="s">
        <v>159</v>
      </c>
      <c r="E47" s="46" t="s">
        <v>12</v>
      </c>
      <c r="F47" s="47">
        <f>'memória de cálculo'!D35</f>
        <v>14</v>
      </c>
      <c r="G47" s="48">
        <v>2.46</v>
      </c>
      <c r="H47" s="62">
        <f t="shared" si="13"/>
        <v>3.0127619999999995</v>
      </c>
      <c r="I47" s="45">
        <f t="shared" si="12"/>
        <v>42.178667999999995</v>
      </c>
    </row>
    <row r="48" spans="1:9" ht="38.25" x14ac:dyDescent="0.25">
      <c r="A48" s="50" t="s">
        <v>163</v>
      </c>
      <c r="B48" s="46" t="s">
        <v>135</v>
      </c>
      <c r="C48" s="46" t="s">
        <v>10</v>
      </c>
      <c r="D48" s="41" t="s">
        <v>134</v>
      </c>
      <c r="E48" s="46" t="s">
        <v>23</v>
      </c>
      <c r="F48" s="47">
        <f>'memória de cálculo'!D36</f>
        <v>20.721250000000001</v>
      </c>
      <c r="G48" s="48">
        <v>106.9</v>
      </c>
      <c r="H48" s="62">
        <f>G48*(1+$H$11)</f>
        <v>130.92043000000001</v>
      </c>
      <c r="I48" s="45">
        <f t="shared" ref="I48" si="14">H48*F48</f>
        <v>2712.8349601375003</v>
      </c>
    </row>
    <row r="49" spans="1:9" ht="51" x14ac:dyDescent="0.25">
      <c r="A49" s="50" t="s">
        <v>164</v>
      </c>
      <c r="B49" s="59">
        <v>92580</v>
      </c>
      <c r="C49" s="50" t="s">
        <v>133</v>
      </c>
      <c r="D49" s="61" t="s">
        <v>138</v>
      </c>
      <c r="E49" s="50" t="s">
        <v>22</v>
      </c>
      <c r="F49" s="51">
        <f>'memória de cálculo'!D37</f>
        <v>98.45</v>
      </c>
      <c r="G49" s="52">
        <v>48.3</v>
      </c>
      <c r="H49" s="62">
        <f>G49*(1+$H$11)</f>
        <v>59.153009999999995</v>
      </c>
      <c r="I49" s="53">
        <f>H49*F49</f>
        <v>5823.6138344999999</v>
      </c>
    </row>
    <row r="50" spans="1:9" ht="38.25" x14ac:dyDescent="0.25">
      <c r="A50" s="50" t="s">
        <v>165</v>
      </c>
      <c r="B50" s="59">
        <v>92606</v>
      </c>
      <c r="C50" s="59" t="s">
        <v>133</v>
      </c>
      <c r="D50" s="61" t="s">
        <v>156</v>
      </c>
      <c r="E50" s="46" t="s">
        <v>12</v>
      </c>
      <c r="F50" s="47">
        <f>'memória de cálculo'!D38</f>
        <v>5</v>
      </c>
      <c r="G50" s="48">
        <v>922.39</v>
      </c>
      <c r="H50" s="62">
        <f>G50*(1+$H$11)</f>
        <v>1129.6510329999999</v>
      </c>
      <c r="I50" s="49">
        <f t="shared" ref="I50" si="15">H50*F50</f>
        <v>5648.2551649999996</v>
      </c>
    </row>
    <row r="51" spans="1:9" ht="25.5" x14ac:dyDescent="0.25">
      <c r="A51" s="50" t="s">
        <v>166</v>
      </c>
      <c r="B51" s="59">
        <v>94216</v>
      </c>
      <c r="C51" s="59" t="s">
        <v>133</v>
      </c>
      <c r="D51" s="61" t="s">
        <v>136</v>
      </c>
      <c r="E51" s="46" t="s">
        <v>22</v>
      </c>
      <c r="F51" s="47">
        <f>'memória de cálculo'!D39</f>
        <v>97.554999999999993</v>
      </c>
      <c r="G51" s="48">
        <v>190.77</v>
      </c>
      <c r="H51" s="62">
        <f>G51*(1+$H$11)</f>
        <v>233.636019</v>
      </c>
      <c r="I51" s="53">
        <f>H51*F51</f>
        <v>22792.361833544997</v>
      </c>
    </row>
    <row r="52" spans="1:9" ht="25.5" x14ac:dyDescent="0.25">
      <c r="A52" s="50" t="s">
        <v>167</v>
      </c>
      <c r="B52" s="59">
        <v>100327</v>
      </c>
      <c r="C52" s="60" t="s">
        <v>133</v>
      </c>
      <c r="D52" s="64" t="s">
        <v>144</v>
      </c>
      <c r="E52" s="42" t="s">
        <v>11</v>
      </c>
      <c r="F52" s="43">
        <f>'memória de cálculo'!D40</f>
        <v>27.5</v>
      </c>
      <c r="G52" s="44">
        <v>61.62</v>
      </c>
      <c r="H52" s="62">
        <f>G52*(1+$H$11)</f>
        <v>75.466013999999987</v>
      </c>
      <c r="I52" s="45">
        <f t="shared" ref="I52" si="16">H52*F52</f>
        <v>2075.3153849999994</v>
      </c>
    </row>
    <row r="53" spans="1:9" ht="19.5" customHeight="1" x14ac:dyDescent="0.25">
      <c r="A53" s="77" t="s">
        <v>28</v>
      </c>
      <c r="B53" s="66"/>
      <c r="C53" s="66"/>
      <c r="D53" s="67" t="s">
        <v>169</v>
      </c>
      <c r="E53" s="54"/>
      <c r="F53" s="55"/>
      <c r="G53" s="56"/>
      <c r="H53" s="68"/>
      <c r="I53" s="57">
        <f>SUM(I56:I62)</f>
        <v>28778.786098085999</v>
      </c>
    </row>
    <row r="54" spans="1:9" ht="19.5" customHeight="1" x14ac:dyDescent="0.25">
      <c r="A54" s="50" t="s">
        <v>29</v>
      </c>
      <c r="B54" s="59" t="s">
        <v>330</v>
      </c>
      <c r="C54" s="60" t="s">
        <v>10</v>
      </c>
      <c r="D54" s="61" t="s">
        <v>331</v>
      </c>
      <c r="E54" s="42" t="s">
        <v>22</v>
      </c>
      <c r="F54" s="43">
        <f>'memória de cálculo'!D42</f>
        <v>19</v>
      </c>
      <c r="G54" s="44">
        <v>31.6</v>
      </c>
      <c r="H54" s="62">
        <f t="shared" ref="H54:H55" si="17">G54*(1+$H$11)</f>
        <v>38.700519999999997</v>
      </c>
      <c r="I54" s="45">
        <f t="shared" ref="I54:I55" si="18">H54*F54</f>
        <v>735.30987999999991</v>
      </c>
    </row>
    <row r="55" spans="1:9" ht="28.5" customHeight="1" x14ac:dyDescent="0.25">
      <c r="A55" s="50" t="s">
        <v>30</v>
      </c>
      <c r="B55" s="59" t="s">
        <v>171</v>
      </c>
      <c r="C55" s="60" t="s">
        <v>10</v>
      </c>
      <c r="D55" s="61" t="s">
        <v>332</v>
      </c>
      <c r="E55" s="42" t="s">
        <v>22</v>
      </c>
      <c r="F55" s="43">
        <f>'memória de cálculo'!D43</f>
        <v>19</v>
      </c>
      <c r="G55" s="44">
        <v>67.58</v>
      </c>
      <c r="H55" s="62">
        <f t="shared" si="17"/>
        <v>82.765225999999984</v>
      </c>
      <c r="I55" s="45">
        <f t="shared" si="18"/>
        <v>1572.5392939999997</v>
      </c>
    </row>
    <row r="56" spans="1:9" ht="38.25" x14ac:dyDescent="0.25">
      <c r="A56" s="50" t="s">
        <v>98</v>
      </c>
      <c r="B56" s="59">
        <v>96527</v>
      </c>
      <c r="C56" s="60" t="s">
        <v>133</v>
      </c>
      <c r="D56" s="61" t="s">
        <v>180</v>
      </c>
      <c r="E56" s="42" t="s">
        <v>23</v>
      </c>
      <c r="F56" s="43">
        <f>'memória de cálculo'!D44</f>
        <v>1.3979999999999999</v>
      </c>
      <c r="G56" s="44">
        <v>131.71</v>
      </c>
      <c r="H56" s="62">
        <f t="shared" ref="H56:H61" si="19">G56*(1+$H$11)</f>
        <v>161.30523700000001</v>
      </c>
      <c r="I56" s="45">
        <f t="shared" ref="I56:I60" si="20">H56*F56</f>
        <v>225.50472132599998</v>
      </c>
    </row>
    <row r="57" spans="1:9" ht="25.5" x14ac:dyDescent="0.25">
      <c r="A57" s="50" t="s">
        <v>111</v>
      </c>
      <c r="B57" s="59">
        <v>96545</v>
      </c>
      <c r="C57" s="60" t="s">
        <v>133</v>
      </c>
      <c r="D57" s="61" t="s">
        <v>182</v>
      </c>
      <c r="E57" s="42" t="s">
        <v>14</v>
      </c>
      <c r="F57" s="43">
        <f>'memória de cálculo'!D45</f>
        <v>139.79999999999998</v>
      </c>
      <c r="G57" s="44">
        <v>16.79</v>
      </c>
      <c r="H57" s="62">
        <f t="shared" si="19"/>
        <v>20.562712999999999</v>
      </c>
      <c r="I57" s="45">
        <f t="shared" si="20"/>
        <v>2874.6672773999994</v>
      </c>
    </row>
    <row r="58" spans="1:9" ht="38.25" x14ac:dyDescent="0.25">
      <c r="A58" s="50" t="s">
        <v>112</v>
      </c>
      <c r="B58" s="59">
        <v>94965</v>
      </c>
      <c r="C58" s="60" t="s">
        <v>133</v>
      </c>
      <c r="D58" s="61" t="s">
        <v>183</v>
      </c>
      <c r="E58" s="42" t="s">
        <v>23</v>
      </c>
      <c r="F58" s="43">
        <f>'memória de cálculo'!D46</f>
        <v>1.3979999999999999</v>
      </c>
      <c r="G58" s="44">
        <v>419.9</v>
      </c>
      <c r="H58" s="62">
        <f t="shared" si="19"/>
        <v>514.25152999999989</v>
      </c>
      <c r="I58" s="45">
        <f t="shared" si="20"/>
        <v>718.92363893999982</v>
      </c>
    </row>
    <row r="59" spans="1:9" ht="38.25" x14ac:dyDescent="0.25">
      <c r="A59" s="50" t="s">
        <v>113</v>
      </c>
      <c r="B59" s="59">
        <v>96530</v>
      </c>
      <c r="C59" s="60" t="s">
        <v>133</v>
      </c>
      <c r="D59" s="61" t="s">
        <v>184</v>
      </c>
      <c r="E59" s="42" t="s">
        <v>22</v>
      </c>
      <c r="F59" s="43">
        <f>'memória de cálculo'!D47</f>
        <v>13.98</v>
      </c>
      <c r="G59" s="44">
        <v>147.72</v>
      </c>
      <c r="H59" s="62">
        <f t="shared" si="19"/>
        <v>180.91268399999998</v>
      </c>
      <c r="I59" s="45">
        <f t="shared" si="20"/>
        <v>2529.1593223199998</v>
      </c>
    </row>
    <row r="60" spans="1:9" ht="38.25" x14ac:dyDescent="0.25">
      <c r="A60" s="50" t="s">
        <v>114</v>
      </c>
      <c r="B60" s="59">
        <v>101174</v>
      </c>
      <c r="C60" s="60" t="s">
        <v>133</v>
      </c>
      <c r="D60" s="61" t="s">
        <v>181</v>
      </c>
      <c r="E60" s="42" t="s">
        <v>11</v>
      </c>
      <c r="F60" s="43">
        <f>'memória de cálculo'!D48</f>
        <v>7</v>
      </c>
      <c r="G60" s="44">
        <v>90.24</v>
      </c>
      <c r="H60" s="62">
        <f t="shared" si="19"/>
        <v>110.51692799999998</v>
      </c>
      <c r="I60" s="45">
        <f t="shared" si="20"/>
        <v>773.61849599999982</v>
      </c>
    </row>
    <row r="61" spans="1:9" ht="25.5" x14ac:dyDescent="0.25">
      <c r="A61" s="50" t="s">
        <v>115</v>
      </c>
      <c r="B61" s="59" t="s">
        <v>171</v>
      </c>
      <c r="C61" s="60" t="s">
        <v>10</v>
      </c>
      <c r="D61" s="61" t="s">
        <v>170</v>
      </c>
      <c r="E61" s="42" t="s">
        <v>22</v>
      </c>
      <c r="F61" s="43">
        <f>'memória de cálculo'!D49</f>
        <v>24.6</v>
      </c>
      <c r="G61" s="44">
        <v>488.97</v>
      </c>
      <c r="H61" s="62">
        <f t="shared" si="19"/>
        <v>598.84155899999996</v>
      </c>
      <c r="I61" s="45">
        <f t="shared" ref="I61:I79" si="21">H61*F61</f>
        <v>14731.5023514</v>
      </c>
    </row>
    <row r="62" spans="1:9" ht="25.5" x14ac:dyDescent="0.25">
      <c r="A62" s="50" t="s">
        <v>116</v>
      </c>
      <c r="B62" s="59" t="s">
        <v>323</v>
      </c>
      <c r="C62" s="59" t="s">
        <v>10</v>
      </c>
      <c r="D62" s="61" t="s">
        <v>322</v>
      </c>
      <c r="E62" s="46" t="s">
        <v>22</v>
      </c>
      <c r="F62" s="47">
        <f>'memória de cálculo'!D50</f>
        <v>3.3000000000000003</v>
      </c>
      <c r="G62" s="48">
        <v>1713.57</v>
      </c>
      <c r="H62" s="62">
        <f t="shared" ref="H62" si="22">G62*(1+$H$11)</f>
        <v>2098.6091789999996</v>
      </c>
      <c r="I62" s="45">
        <f t="shared" ref="I62" si="23">H62*F62</f>
        <v>6925.4102906999988</v>
      </c>
    </row>
    <row r="63" spans="1:9" x14ac:dyDescent="0.25">
      <c r="A63" s="77" t="s">
        <v>31</v>
      </c>
      <c r="B63" s="66"/>
      <c r="C63" s="66"/>
      <c r="D63" s="67" t="s">
        <v>172</v>
      </c>
      <c r="E63" s="54"/>
      <c r="F63" s="55"/>
      <c r="G63" s="56"/>
      <c r="H63" s="68"/>
      <c r="I63" s="57">
        <f>SUM(I64:I66)</f>
        <v>2492.8689947742</v>
      </c>
    </row>
    <row r="64" spans="1:9" ht="25.5" x14ac:dyDescent="0.25">
      <c r="A64" s="50" t="s">
        <v>33</v>
      </c>
      <c r="B64" s="59">
        <v>104789</v>
      </c>
      <c r="C64" s="60" t="s">
        <v>133</v>
      </c>
      <c r="D64" s="61" t="s">
        <v>173</v>
      </c>
      <c r="E64" s="42" t="s">
        <v>23</v>
      </c>
      <c r="F64" s="43">
        <f>'memória de cálculo'!D52</f>
        <v>0.58450000000000002</v>
      </c>
      <c r="G64" s="44">
        <v>258.23</v>
      </c>
      <c r="H64" s="62">
        <f>G64*(1+$H$11)</f>
        <v>316.25428099999999</v>
      </c>
      <c r="I64" s="45">
        <f t="shared" si="21"/>
        <v>184.8506272445</v>
      </c>
    </row>
    <row r="65" spans="1:9" ht="38.25" x14ac:dyDescent="0.25">
      <c r="A65" s="50" t="s">
        <v>34</v>
      </c>
      <c r="B65" s="46" t="s">
        <v>135</v>
      </c>
      <c r="C65" s="46" t="s">
        <v>10</v>
      </c>
      <c r="D65" s="41" t="s">
        <v>134</v>
      </c>
      <c r="E65" s="46" t="s">
        <v>23</v>
      </c>
      <c r="F65" s="47">
        <f>'memória de cálculo'!D53</f>
        <v>0.58450000000000002</v>
      </c>
      <c r="G65" s="48">
        <v>106.9</v>
      </c>
      <c r="H65" s="62">
        <f>G65*(1+$H$11)</f>
        <v>130.92043000000001</v>
      </c>
      <c r="I65" s="45">
        <f t="shared" si="21"/>
        <v>76.522991335000015</v>
      </c>
    </row>
    <row r="66" spans="1:9" ht="38.25" x14ac:dyDescent="0.25">
      <c r="A66" s="50" t="s">
        <v>117</v>
      </c>
      <c r="B66" s="46">
        <v>94990</v>
      </c>
      <c r="C66" s="46" t="s">
        <v>133</v>
      </c>
      <c r="D66" s="41" t="s">
        <v>185</v>
      </c>
      <c r="E66" s="46" t="s">
        <v>23</v>
      </c>
      <c r="F66" s="47">
        <f>'memória de cálculo'!D54</f>
        <v>2.5641000000000003</v>
      </c>
      <c r="G66" s="48">
        <v>710.61</v>
      </c>
      <c r="H66" s="62">
        <f>G66*(1+$H$11)</f>
        <v>870.28406699999994</v>
      </c>
      <c r="I66" s="45">
        <f t="shared" si="21"/>
        <v>2231.4953761946999</v>
      </c>
    </row>
    <row r="67" spans="1:9" x14ac:dyDescent="0.25">
      <c r="A67" s="77" t="s">
        <v>35</v>
      </c>
      <c r="B67" s="66"/>
      <c r="C67" s="66"/>
      <c r="D67" s="67" t="s">
        <v>174</v>
      </c>
      <c r="E67" s="54"/>
      <c r="F67" s="55"/>
      <c r="G67" s="56"/>
      <c r="H67" s="68"/>
      <c r="I67" s="57">
        <f>SUM(I72:I74)</f>
        <v>1496.8724291999997</v>
      </c>
    </row>
    <row r="68" spans="1:9" ht="25.5" x14ac:dyDescent="0.25">
      <c r="A68" s="50" t="s">
        <v>36</v>
      </c>
      <c r="B68" s="46">
        <v>93358</v>
      </c>
      <c r="C68" s="46" t="s">
        <v>133</v>
      </c>
      <c r="D68" s="41" t="s">
        <v>176</v>
      </c>
      <c r="E68" s="46" t="s">
        <v>23</v>
      </c>
      <c r="F68" s="47">
        <f>'memória de cálculo'!D56</f>
        <v>4.34</v>
      </c>
      <c r="G68" s="48">
        <v>111.44</v>
      </c>
      <c r="H68" s="62">
        <f>G68*(1+$H$11)</f>
        <v>136.48056799999998</v>
      </c>
      <c r="I68" s="45">
        <f t="shared" ref="I68:I70" si="24">H68*F68</f>
        <v>592.32566511999983</v>
      </c>
    </row>
    <row r="69" spans="1:9" ht="25.5" x14ac:dyDescent="0.25">
      <c r="A69" s="50" t="s">
        <v>37</v>
      </c>
      <c r="B69" s="46">
        <v>89512</v>
      </c>
      <c r="C69" s="46" t="s">
        <v>133</v>
      </c>
      <c r="D69" s="41" t="s">
        <v>175</v>
      </c>
      <c r="E69" s="46" t="s">
        <v>11</v>
      </c>
      <c r="F69" s="47">
        <f>'memória de cálculo'!D57</f>
        <v>31</v>
      </c>
      <c r="G69" s="48">
        <v>53.8</v>
      </c>
      <c r="H69" s="62">
        <f>G69*(1+$H$11)</f>
        <v>65.888859999999994</v>
      </c>
      <c r="I69" s="45">
        <f t="shared" si="24"/>
        <v>2042.5546599999998</v>
      </c>
    </row>
    <row r="70" spans="1:9" ht="38.25" x14ac:dyDescent="0.25">
      <c r="A70" s="50" t="s">
        <v>38</v>
      </c>
      <c r="B70" s="46">
        <v>103006</v>
      </c>
      <c r="C70" s="46" t="s">
        <v>133</v>
      </c>
      <c r="D70" s="41" t="s">
        <v>177</v>
      </c>
      <c r="E70" s="46" t="s">
        <v>12</v>
      </c>
      <c r="F70" s="47">
        <f>'memória de cálculo'!D58</f>
        <v>3</v>
      </c>
      <c r="G70" s="48">
        <v>710.61</v>
      </c>
      <c r="H70" s="62">
        <f>G70*(1+$H$11)</f>
        <v>870.28406699999994</v>
      </c>
      <c r="I70" s="45">
        <f t="shared" si="24"/>
        <v>2610.8522009999997</v>
      </c>
    </row>
    <row r="71" spans="1:9" x14ac:dyDescent="0.25">
      <c r="A71" s="77" t="s">
        <v>39</v>
      </c>
      <c r="B71" s="66"/>
      <c r="C71" s="66"/>
      <c r="D71" s="67" t="s">
        <v>178</v>
      </c>
      <c r="E71" s="54"/>
      <c r="F71" s="55"/>
      <c r="G71" s="56"/>
      <c r="H71" s="68"/>
      <c r="I71" s="57">
        <f>SUM(I72:I79)</f>
        <v>12961.75010628</v>
      </c>
    </row>
    <row r="72" spans="1:9" ht="42" customHeight="1" x14ac:dyDescent="0.25">
      <c r="A72" s="50" t="s">
        <v>40</v>
      </c>
      <c r="B72" s="46">
        <v>90443</v>
      </c>
      <c r="C72" s="46" t="s">
        <v>133</v>
      </c>
      <c r="D72" s="41" t="s">
        <v>179</v>
      </c>
      <c r="E72" s="46" t="s">
        <v>11</v>
      </c>
      <c r="F72" s="47">
        <f>'memória de cálculo'!D60</f>
        <v>24</v>
      </c>
      <c r="G72" s="48">
        <v>10.34</v>
      </c>
      <c r="H72" s="62">
        <f t="shared" ref="H72:H79" si="25">G72*(1+$H$11)</f>
        <v>12.663397999999999</v>
      </c>
      <c r="I72" s="45">
        <f t="shared" ref="I72" si="26">H72*F72</f>
        <v>303.92155199999996</v>
      </c>
    </row>
    <row r="73" spans="1:9" ht="25.5" x14ac:dyDescent="0.25">
      <c r="A73" s="50" t="s">
        <v>73</v>
      </c>
      <c r="B73" s="46">
        <v>89865</v>
      </c>
      <c r="C73" s="46" t="s">
        <v>133</v>
      </c>
      <c r="D73" s="41" t="s">
        <v>186</v>
      </c>
      <c r="E73" s="46" t="s">
        <v>11</v>
      </c>
      <c r="F73" s="47">
        <f>'memória de cálculo'!D61</f>
        <v>40</v>
      </c>
      <c r="G73" s="48">
        <v>20.58</v>
      </c>
      <c r="H73" s="62">
        <f t="shared" si="25"/>
        <v>25.204325999999995</v>
      </c>
      <c r="I73" s="45">
        <f t="shared" si="21"/>
        <v>1008.1730399999998</v>
      </c>
    </row>
    <row r="74" spans="1:9" ht="51" x14ac:dyDescent="0.25">
      <c r="A74" s="50" t="s">
        <v>74</v>
      </c>
      <c r="B74" s="46">
        <v>87792</v>
      </c>
      <c r="C74" s="46" t="s">
        <v>133</v>
      </c>
      <c r="D74" s="41" t="s">
        <v>150</v>
      </c>
      <c r="E74" s="46" t="s">
        <v>22</v>
      </c>
      <c r="F74" s="47">
        <f>'memória de cálculo'!D62</f>
        <v>3.5999999999999996</v>
      </c>
      <c r="G74" s="48">
        <v>41.91</v>
      </c>
      <c r="H74" s="62">
        <f t="shared" si="25"/>
        <v>51.327176999999992</v>
      </c>
      <c r="I74" s="45">
        <f t="shared" si="21"/>
        <v>184.77783719999996</v>
      </c>
    </row>
    <row r="75" spans="1:9" ht="25.5" x14ac:dyDescent="0.25">
      <c r="A75" s="50" t="s">
        <v>75</v>
      </c>
      <c r="B75" s="46">
        <v>97631</v>
      </c>
      <c r="C75" s="46" t="s">
        <v>133</v>
      </c>
      <c r="D75" s="41" t="s">
        <v>187</v>
      </c>
      <c r="E75" s="46" t="s">
        <v>22</v>
      </c>
      <c r="F75" s="47">
        <f>'memória de cálculo'!D63</f>
        <v>88.960000000000008</v>
      </c>
      <c r="G75" s="48">
        <v>14.64</v>
      </c>
      <c r="H75" s="62">
        <f t="shared" si="25"/>
        <v>17.929607999999998</v>
      </c>
      <c r="I75" s="45">
        <f t="shared" si="21"/>
        <v>1595.01792768</v>
      </c>
    </row>
    <row r="76" spans="1:9" ht="38.25" x14ac:dyDescent="0.25">
      <c r="A76" s="78" t="s">
        <v>76</v>
      </c>
      <c r="B76" s="46" t="s">
        <v>135</v>
      </c>
      <c r="C76" s="46" t="s">
        <v>10</v>
      </c>
      <c r="D76" s="41" t="s">
        <v>134</v>
      </c>
      <c r="E76" s="46" t="s">
        <v>23</v>
      </c>
      <c r="F76" s="47">
        <f>'memória de cálculo'!D64</f>
        <v>4.6280000000000001</v>
      </c>
      <c r="G76" s="48">
        <v>106.9</v>
      </c>
      <c r="H76" s="62">
        <f t="shared" si="25"/>
        <v>130.92043000000001</v>
      </c>
      <c r="I76" s="45">
        <f t="shared" si="21"/>
        <v>605.89975004000007</v>
      </c>
    </row>
    <row r="77" spans="1:9" ht="25.5" x14ac:dyDescent="0.25">
      <c r="A77" s="78" t="s">
        <v>77</v>
      </c>
      <c r="B77" s="46">
        <v>98555</v>
      </c>
      <c r="C77" s="46" t="s">
        <v>133</v>
      </c>
      <c r="D77" s="41" t="s">
        <v>204</v>
      </c>
      <c r="E77" s="46" t="s">
        <v>22</v>
      </c>
      <c r="F77" s="47">
        <f>'memória de cálculo'!D65</f>
        <v>88.960000000000008</v>
      </c>
      <c r="G77" s="48">
        <v>34.93</v>
      </c>
      <c r="H77" s="62">
        <f t="shared" si="25"/>
        <v>42.778770999999999</v>
      </c>
      <c r="I77" s="45">
        <f t="shared" ref="I77" si="27">H77*F77</f>
        <v>3805.5994681600005</v>
      </c>
    </row>
    <row r="78" spans="1:9" ht="38.25" x14ac:dyDescent="0.25">
      <c r="A78" s="78" t="s">
        <v>122</v>
      </c>
      <c r="B78" s="46">
        <v>87893</v>
      </c>
      <c r="C78" s="46" t="s">
        <v>133</v>
      </c>
      <c r="D78" s="41" t="s">
        <v>149</v>
      </c>
      <c r="E78" s="46" t="s">
        <v>22</v>
      </c>
      <c r="F78" s="47">
        <f>'memória de cálculo'!D66</f>
        <v>88.960000000000008</v>
      </c>
      <c r="G78" s="48">
        <v>8.19</v>
      </c>
      <c r="H78" s="62">
        <f t="shared" si="25"/>
        <v>10.030292999999999</v>
      </c>
      <c r="I78" s="45">
        <f t="shared" si="21"/>
        <v>892.29486527999995</v>
      </c>
    </row>
    <row r="79" spans="1:9" ht="51" x14ac:dyDescent="0.25">
      <c r="A79" s="78" t="s">
        <v>91</v>
      </c>
      <c r="B79" s="46">
        <v>87792</v>
      </c>
      <c r="C79" s="46" t="s">
        <v>133</v>
      </c>
      <c r="D79" s="41" t="s">
        <v>150</v>
      </c>
      <c r="E79" s="46" t="s">
        <v>22</v>
      </c>
      <c r="F79" s="47">
        <f>'memória de cálculo'!D67</f>
        <v>88.960000000000008</v>
      </c>
      <c r="G79" s="48">
        <v>41.91</v>
      </c>
      <c r="H79" s="62">
        <f t="shared" si="25"/>
        <v>51.327176999999992</v>
      </c>
      <c r="I79" s="45">
        <f t="shared" si="21"/>
        <v>4566.0656659199994</v>
      </c>
    </row>
    <row r="80" spans="1:9" x14ac:dyDescent="0.25">
      <c r="A80" s="77" t="s">
        <v>41</v>
      </c>
      <c r="B80" s="66"/>
      <c r="C80" s="66"/>
      <c r="D80" s="67" t="s">
        <v>188</v>
      </c>
      <c r="E80" s="54"/>
      <c r="F80" s="55"/>
      <c r="G80" s="56"/>
      <c r="H80" s="68"/>
      <c r="I80" s="57">
        <f>SUM(I81:I87)</f>
        <v>1134.3239983199999</v>
      </c>
    </row>
    <row r="81" spans="1:9" ht="25.5" x14ac:dyDescent="0.25">
      <c r="A81" s="50" t="s">
        <v>42</v>
      </c>
      <c r="B81" s="59">
        <v>97622</v>
      </c>
      <c r="C81" s="59" t="s">
        <v>133</v>
      </c>
      <c r="D81" s="61" t="s">
        <v>142</v>
      </c>
      <c r="E81" s="59" t="s">
        <v>23</v>
      </c>
      <c r="F81" s="86">
        <f>'memória de cálculo'!D69</f>
        <v>0.12000000000000002</v>
      </c>
      <c r="G81" s="65">
        <v>73.38</v>
      </c>
      <c r="H81" s="62">
        <f t="shared" ref="H81" si="28">G81*(1+$H$11)</f>
        <v>89.86848599999999</v>
      </c>
      <c r="I81" s="65">
        <f>H81*F81</f>
        <v>10.784218320000001</v>
      </c>
    </row>
    <row r="82" spans="1:9" ht="38.25" x14ac:dyDescent="0.25">
      <c r="A82" s="50" t="s">
        <v>43</v>
      </c>
      <c r="B82" s="46" t="s">
        <v>135</v>
      </c>
      <c r="C82" s="46" t="s">
        <v>10</v>
      </c>
      <c r="D82" s="41" t="s">
        <v>134</v>
      </c>
      <c r="E82" s="46" t="s">
        <v>23</v>
      </c>
      <c r="F82" s="47">
        <f>'memória de cálculo'!D70</f>
        <v>0.12000000000000002</v>
      </c>
      <c r="G82" s="48">
        <v>106.9</v>
      </c>
      <c r="H82" s="62">
        <f>G82*(1+$H$11)</f>
        <v>130.92043000000001</v>
      </c>
      <c r="I82" s="45">
        <f t="shared" ref="I82" si="29">H82*F82</f>
        <v>15.710451600000004</v>
      </c>
    </row>
    <row r="83" spans="1:9" ht="25.5" x14ac:dyDescent="0.25">
      <c r="A83" s="50" t="s">
        <v>44</v>
      </c>
      <c r="B83" s="46">
        <v>92269</v>
      </c>
      <c r="C83" s="46" t="s">
        <v>133</v>
      </c>
      <c r="D83" s="41" t="s">
        <v>189</v>
      </c>
      <c r="E83" s="46" t="s">
        <v>22</v>
      </c>
      <c r="F83" s="47">
        <f>'memória de cálculo'!D71</f>
        <v>4.8000000000000007</v>
      </c>
      <c r="G83" s="48">
        <v>129.22999999999999</v>
      </c>
      <c r="H83" s="62">
        <f t="shared" ref="H83" si="30">G83*(1+$H$11)</f>
        <v>158.26798099999996</v>
      </c>
      <c r="I83" s="45">
        <f t="shared" ref="I83:I87" si="31">H83*F83</f>
        <v>759.68630879999989</v>
      </c>
    </row>
    <row r="84" spans="1:9" ht="25.5" x14ac:dyDescent="0.25">
      <c r="A84" s="50" t="s">
        <v>45</v>
      </c>
      <c r="B84" s="59">
        <v>96546</v>
      </c>
      <c r="C84" s="60" t="s">
        <v>133</v>
      </c>
      <c r="D84" s="61" t="s">
        <v>190</v>
      </c>
      <c r="E84" s="42" t="s">
        <v>14</v>
      </c>
      <c r="F84" s="43">
        <f>'memória de cálculo'!D72</f>
        <v>12.000000000000002</v>
      </c>
      <c r="G84" s="44">
        <v>14.48</v>
      </c>
      <c r="H84" s="62">
        <f>G84*(1+$H$11)</f>
        <v>17.733656</v>
      </c>
      <c r="I84" s="45">
        <f t="shared" si="31"/>
        <v>212.80387200000004</v>
      </c>
    </row>
    <row r="85" spans="1:9" ht="38.25" x14ac:dyDescent="0.25">
      <c r="A85" s="50" t="s">
        <v>92</v>
      </c>
      <c r="B85" s="59">
        <v>94965</v>
      </c>
      <c r="C85" s="60" t="s">
        <v>133</v>
      </c>
      <c r="D85" s="61" t="s">
        <v>183</v>
      </c>
      <c r="E85" s="42" t="s">
        <v>23</v>
      </c>
      <c r="F85" s="43">
        <f>'memória de cálculo'!D73</f>
        <v>0.12000000000000002</v>
      </c>
      <c r="G85" s="44">
        <v>419.9</v>
      </c>
      <c r="H85" s="62">
        <f>G85*(1+$H$11)</f>
        <v>514.25152999999989</v>
      </c>
      <c r="I85" s="45">
        <f t="shared" si="31"/>
        <v>61.710183600000001</v>
      </c>
    </row>
    <row r="86" spans="1:9" ht="38.25" x14ac:dyDescent="0.25">
      <c r="A86" s="50" t="s">
        <v>118</v>
      </c>
      <c r="B86" s="46">
        <v>87893</v>
      </c>
      <c r="C86" s="46" t="s">
        <v>133</v>
      </c>
      <c r="D86" s="41" t="s">
        <v>149</v>
      </c>
      <c r="E86" s="46" t="s">
        <v>22</v>
      </c>
      <c r="F86" s="47">
        <f>'memória de cálculo'!D74</f>
        <v>1.2000000000000002</v>
      </c>
      <c r="G86" s="48">
        <v>8.19</v>
      </c>
      <c r="H86" s="62">
        <f>G86*(1+$H$11)</f>
        <v>10.030292999999999</v>
      </c>
      <c r="I86" s="45">
        <f t="shared" si="31"/>
        <v>12.0363516</v>
      </c>
    </row>
    <row r="87" spans="1:9" ht="51" x14ac:dyDescent="0.25">
      <c r="A87" s="50" t="s">
        <v>195</v>
      </c>
      <c r="B87" s="46">
        <v>87792</v>
      </c>
      <c r="C87" s="46" t="s">
        <v>133</v>
      </c>
      <c r="D87" s="41" t="s">
        <v>150</v>
      </c>
      <c r="E87" s="46" t="s">
        <v>22</v>
      </c>
      <c r="F87" s="47">
        <f>'memória de cálculo'!D75</f>
        <v>1.2000000000000002</v>
      </c>
      <c r="G87" s="48">
        <v>41.91</v>
      </c>
      <c r="H87" s="62">
        <f>G87*(1+$H$11)</f>
        <v>51.327176999999992</v>
      </c>
      <c r="I87" s="45">
        <f t="shared" si="31"/>
        <v>61.5926124</v>
      </c>
    </row>
    <row r="88" spans="1:9" x14ac:dyDescent="0.25">
      <c r="A88" s="77" t="s">
        <v>46</v>
      </c>
      <c r="B88" s="66"/>
      <c r="C88" s="66"/>
      <c r="D88" s="67" t="s">
        <v>191</v>
      </c>
      <c r="E88" s="54"/>
      <c r="F88" s="55"/>
      <c r="G88" s="56"/>
      <c r="H88" s="68"/>
      <c r="I88" s="57">
        <f>SUM(I89:I92)</f>
        <v>194.02885358999998</v>
      </c>
    </row>
    <row r="89" spans="1:9" ht="25.5" x14ac:dyDescent="0.25">
      <c r="A89" s="50" t="s">
        <v>47</v>
      </c>
      <c r="B89" s="46">
        <v>97633</v>
      </c>
      <c r="C89" s="46" t="s">
        <v>133</v>
      </c>
      <c r="D89" s="41" t="s">
        <v>192</v>
      </c>
      <c r="E89" s="46" t="s">
        <v>22</v>
      </c>
      <c r="F89" s="47">
        <f>'memória de cálculo'!D77</f>
        <v>0.9900000000000001</v>
      </c>
      <c r="G89" s="48">
        <v>29.25</v>
      </c>
      <c r="H89" s="62">
        <f>G89*(1+$H$11)</f>
        <v>35.822474999999997</v>
      </c>
      <c r="I89" s="45">
        <f t="shared" ref="I89:I92" si="32">H89*F89</f>
        <v>35.464250249999999</v>
      </c>
    </row>
    <row r="90" spans="1:9" ht="38.25" x14ac:dyDescent="0.25">
      <c r="A90" s="50" t="s">
        <v>48</v>
      </c>
      <c r="B90" s="46">
        <v>87893</v>
      </c>
      <c r="C90" s="46" t="s">
        <v>133</v>
      </c>
      <c r="D90" s="41" t="s">
        <v>149</v>
      </c>
      <c r="E90" s="46" t="s">
        <v>22</v>
      </c>
      <c r="F90" s="47">
        <f>'memória de cálculo'!D78</f>
        <v>0.9900000000000001</v>
      </c>
      <c r="G90" s="48">
        <v>8.19</v>
      </c>
      <c r="H90" s="62">
        <f>G90*(1+$H$11)</f>
        <v>10.030292999999999</v>
      </c>
      <c r="I90" s="45">
        <f t="shared" si="32"/>
        <v>9.9299900699999988</v>
      </c>
    </row>
    <row r="91" spans="1:9" ht="63.75" x14ac:dyDescent="0.25">
      <c r="A91" s="50" t="s">
        <v>49</v>
      </c>
      <c r="B91" s="46">
        <v>87527</v>
      </c>
      <c r="C91" s="46" t="s">
        <v>133</v>
      </c>
      <c r="D91" s="41" t="s">
        <v>193</v>
      </c>
      <c r="E91" s="46" t="s">
        <v>22</v>
      </c>
      <c r="F91" s="47">
        <f>'memória de cálculo'!D79</f>
        <v>0.9900000000000001</v>
      </c>
      <c r="G91" s="48">
        <v>40.799999999999997</v>
      </c>
      <c r="H91" s="62">
        <f>G91*(1+$H$11)</f>
        <v>49.967759999999991</v>
      </c>
      <c r="I91" s="45">
        <f t="shared" si="32"/>
        <v>49.468082399999993</v>
      </c>
    </row>
    <row r="92" spans="1:9" ht="38.25" x14ac:dyDescent="0.25">
      <c r="A92" s="79" t="s">
        <v>78</v>
      </c>
      <c r="B92" s="69">
        <v>87267</v>
      </c>
      <c r="C92" s="58" t="s">
        <v>133</v>
      </c>
      <c r="D92" s="70" t="s">
        <v>194</v>
      </c>
      <c r="E92" s="69" t="s">
        <v>22</v>
      </c>
      <c r="F92" s="71">
        <f>'memória de cálculo'!D80</f>
        <v>0.9900000000000001</v>
      </c>
      <c r="G92" s="72">
        <v>81.790000000000006</v>
      </c>
      <c r="H92" s="62">
        <f>G92*(1+$H$11)</f>
        <v>100.16821299999999</v>
      </c>
      <c r="I92" s="45">
        <f t="shared" si="32"/>
        <v>99.166530870000003</v>
      </c>
    </row>
    <row r="93" spans="1:9" x14ac:dyDescent="0.25">
      <c r="A93" s="77" t="s">
        <v>51</v>
      </c>
      <c r="B93" s="66"/>
      <c r="C93" s="66"/>
      <c r="D93" s="67" t="s">
        <v>196</v>
      </c>
      <c r="E93" s="54"/>
      <c r="F93" s="55"/>
      <c r="G93" s="56"/>
      <c r="H93" s="68"/>
      <c r="I93" s="57">
        <f>SUM(I94:I97)</f>
        <v>459.11553600000002</v>
      </c>
    </row>
    <row r="94" spans="1:9" ht="25.5" x14ac:dyDescent="0.25">
      <c r="A94" s="79" t="s">
        <v>52</v>
      </c>
      <c r="B94" s="69">
        <v>86883</v>
      </c>
      <c r="C94" s="58" t="s">
        <v>133</v>
      </c>
      <c r="D94" s="70" t="s">
        <v>197</v>
      </c>
      <c r="E94" s="69" t="s">
        <v>12</v>
      </c>
      <c r="F94" s="71">
        <f>'memória de cálculo'!D82</f>
        <v>16</v>
      </c>
      <c r="G94" s="72">
        <v>14.79</v>
      </c>
      <c r="H94" s="62">
        <f>G94*(1+$H$11)</f>
        <v>18.113312999999998</v>
      </c>
      <c r="I94" s="45">
        <f t="shared" ref="I94:I97" si="33">H94*F94</f>
        <v>289.81300799999997</v>
      </c>
    </row>
    <row r="95" spans="1:9" ht="25.5" x14ac:dyDescent="0.25">
      <c r="A95" s="79" t="s">
        <v>53</v>
      </c>
      <c r="B95" s="69">
        <v>97662</v>
      </c>
      <c r="C95" s="58" t="s">
        <v>133</v>
      </c>
      <c r="D95" s="70" t="s">
        <v>198</v>
      </c>
      <c r="E95" s="69" t="s">
        <v>11</v>
      </c>
      <c r="F95" s="71">
        <f>'memória de cálculo'!D83</f>
        <v>5</v>
      </c>
      <c r="G95" s="72">
        <v>0.67</v>
      </c>
      <c r="H95" s="62">
        <f>G95*(1+$H$11)</f>
        <v>0.82054899999999997</v>
      </c>
      <c r="I95" s="45">
        <f t="shared" si="33"/>
        <v>4.1027449999999996</v>
      </c>
    </row>
    <row r="96" spans="1:9" x14ac:dyDescent="0.25">
      <c r="A96" s="79" t="s">
        <v>54</v>
      </c>
      <c r="B96" s="69">
        <v>98671</v>
      </c>
      <c r="C96" s="58" t="s">
        <v>133</v>
      </c>
      <c r="D96" s="73" t="s">
        <v>199</v>
      </c>
      <c r="E96" s="69" t="s">
        <v>22</v>
      </c>
      <c r="F96" s="71">
        <f>'memória de cálculo'!D84</f>
        <v>0.25</v>
      </c>
      <c r="G96" s="72">
        <v>472.8</v>
      </c>
      <c r="H96" s="62">
        <f>G96*(1+$H$11)</f>
        <v>579.03815999999995</v>
      </c>
      <c r="I96" s="45">
        <f t="shared" si="33"/>
        <v>144.75953999999999</v>
      </c>
    </row>
    <row r="97" spans="1:9" ht="25.5" x14ac:dyDescent="0.25">
      <c r="A97" s="79" t="s">
        <v>55</v>
      </c>
      <c r="B97" s="69">
        <v>97663</v>
      </c>
      <c r="C97" s="58" t="s">
        <v>133</v>
      </c>
      <c r="D97" s="70" t="s">
        <v>200</v>
      </c>
      <c r="E97" s="69" t="s">
        <v>12</v>
      </c>
      <c r="F97" s="71">
        <f>'memória de cálculo'!D85</f>
        <v>1</v>
      </c>
      <c r="G97" s="72">
        <v>16.690000000000001</v>
      </c>
      <c r="H97" s="62">
        <f>G97*(1+$H$11)</f>
        <v>20.440242999999999</v>
      </c>
      <c r="I97" s="45">
        <f t="shared" si="33"/>
        <v>20.440242999999999</v>
      </c>
    </row>
    <row r="98" spans="1:9" x14ac:dyDescent="0.25">
      <c r="A98" s="77" t="s">
        <v>58</v>
      </c>
      <c r="B98" s="66"/>
      <c r="C98" s="66"/>
      <c r="D98" s="67" t="s">
        <v>201</v>
      </c>
      <c r="E98" s="54"/>
      <c r="F98" s="55"/>
      <c r="G98" s="56"/>
      <c r="H98" s="68"/>
      <c r="I98" s="57">
        <f>SUM(I99:I102)</f>
        <v>43.018506024999994</v>
      </c>
    </row>
    <row r="99" spans="1:9" ht="25.5" x14ac:dyDescent="0.25">
      <c r="A99" s="79" t="s">
        <v>64</v>
      </c>
      <c r="B99" s="59">
        <v>97622</v>
      </c>
      <c r="C99" s="59" t="s">
        <v>133</v>
      </c>
      <c r="D99" s="61" t="s">
        <v>142</v>
      </c>
      <c r="E99" s="59" t="s">
        <v>23</v>
      </c>
      <c r="F99" s="86">
        <f>'memória de cálculo'!D87</f>
        <v>2.5000000000000001E-2</v>
      </c>
      <c r="G99" s="65">
        <v>73.38</v>
      </c>
      <c r="H99" s="62">
        <f t="shared" ref="H99" si="34">G99*(1+$H$11)</f>
        <v>89.86848599999999</v>
      </c>
      <c r="I99" s="65">
        <f>H99*F99</f>
        <v>2.24671215</v>
      </c>
    </row>
    <row r="100" spans="1:9" ht="38.25" x14ac:dyDescent="0.25">
      <c r="A100" s="79" t="s">
        <v>65</v>
      </c>
      <c r="B100" s="46" t="s">
        <v>135</v>
      </c>
      <c r="C100" s="46" t="s">
        <v>10</v>
      </c>
      <c r="D100" s="41" t="s">
        <v>202</v>
      </c>
      <c r="E100" s="46" t="s">
        <v>23</v>
      </c>
      <c r="F100" s="47">
        <f>'memória de cálculo'!D88</f>
        <v>2.5000000000000001E-2</v>
      </c>
      <c r="G100" s="48">
        <v>106.9</v>
      </c>
      <c r="H100" s="62">
        <f>G100*(1+$H$11)</f>
        <v>130.92043000000001</v>
      </c>
      <c r="I100" s="45">
        <f t="shared" ref="I100:I102" si="35">H100*F100</f>
        <v>3.2730107500000005</v>
      </c>
    </row>
    <row r="101" spans="1:9" ht="38.25" x14ac:dyDescent="0.25">
      <c r="A101" s="50" t="s">
        <v>66</v>
      </c>
      <c r="B101" s="46">
        <v>87893</v>
      </c>
      <c r="C101" s="46" t="s">
        <v>133</v>
      </c>
      <c r="D101" s="41" t="s">
        <v>149</v>
      </c>
      <c r="E101" s="46" t="s">
        <v>22</v>
      </c>
      <c r="F101" s="47">
        <f>'memória de cálculo'!D89</f>
        <v>0.625</v>
      </c>
      <c r="G101" s="48">
        <v>8.19</v>
      </c>
      <c r="H101" s="62">
        <f t="shared" ref="H101:H102" si="36">G101*(1+$H$11)</f>
        <v>10.030292999999999</v>
      </c>
      <c r="I101" s="45">
        <f t="shared" si="35"/>
        <v>6.2689331249999993</v>
      </c>
    </row>
    <row r="102" spans="1:9" ht="63.75" x14ac:dyDescent="0.25">
      <c r="A102" s="50" t="s">
        <v>67</v>
      </c>
      <c r="B102" s="46">
        <v>87527</v>
      </c>
      <c r="C102" s="46" t="s">
        <v>133</v>
      </c>
      <c r="D102" s="41" t="s">
        <v>193</v>
      </c>
      <c r="E102" s="46" t="s">
        <v>22</v>
      </c>
      <c r="F102" s="47">
        <f>'memória de cálculo'!D90</f>
        <v>0.625</v>
      </c>
      <c r="G102" s="48">
        <v>40.799999999999997</v>
      </c>
      <c r="H102" s="62">
        <f t="shared" si="36"/>
        <v>49.967759999999991</v>
      </c>
      <c r="I102" s="45">
        <f t="shared" si="35"/>
        <v>31.229849999999995</v>
      </c>
    </row>
    <row r="103" spans="1:9" x14ac:dyDescent="0.25">
      <c r="A103" s="77" t="s">
        <v>59</v>
      </c>
      <c r="B103" s="66"/>
      <c r="C103" s="66"/>
      <c r="D103" s="67" t="s">
        <v>203</v>
      </c>
      <c r="E103" s="54"/>
      <c r="F103" s="55"/>
      <c r="G103" s="56"/>
      <c r="H103" s="68"/>
      <c r="I103" s="57">
        <f>SUM(I104:I108)</f>
        <v>5298.1510663568997</v>
      </c>
    </row>
    <row r="104" spans="1:9" ht="25.5" x14ac:dyDescent="0.25">
      <c r="A104" s="79" t="s">
        <v>60</v>
      </c>
      <c r="B104" s="46">
        <v>97631</v>
      </c>
      <c r="C104" s="46" t="s">
        <v>133</v>
      </c>
      <c r="D104" s="41" t="s">
        <v>187</v>
      </c>
      <c r="E104" s="46" t="s">
        <v>22</v>
      </c>
      <c r="F104" s="47">
        <f>'memória de cálculo'!D92</f>
        <v>42.051000000000002</v>
      </c>
      <c r="G104" s="48">
        <v>14.64</v>
      </c>
      <c r="H104" s="62">
        <f>G104*(1+$H$11)</f>
        <v>17.929607999999998</v>
      </c>
      <c r="I104" s="45">
        <f t="shared" ref="I104:I108" si="37">H104*F104</f>
        <v>753.95794600799991</v>
      </c>
    </row>
    <row r="105" spans="1:9" ht="38.25" x14ac:dyDescent="0.25">
      <c r="A105" s="79" t="s">
        <v>93</v>
      </c>
      <c r="B105" s="46" t="s">
        <v>135</v>
      </c>
      <c r="C105" s="46" t="s">
        <v>10</v>
      </c>
      <c r="D105" s="41" t="s">
        <v>134</v>
      </c>
      <c r="E105" s="46" t="s">
        <v>23</v>
      </c>
      <c r="F105" s="47">
        <f>'memória de cálculo'!D93</f>
        <v>1.26153</v>
      </c>
      <c r="G105" s="48">
        <v>106.9</v>
      </c>
      <c r="H105" s="62">
        <f>G105*(1+$H$11)</f>
        <v>130.92043000000001</v>
      </c>
      <c r="I105" s="45">
        <f t="shared" si="37"/>
        <v>165.16005005790001</v>
      </c>
    </row>
    <row r="106" spans="1:9" ht="25.5" x14ac:dyDescent="0.25">
      <c r="A106" s="79" t="s">
        <v>94</v>
      </c>
      <c r="B106" s="46">
        <v>98555</v>
      </c>
      <c r="C106" s="46" t="s">
        <v>133</v>
      </c>
      <c r="D106" s="41" t="s">
        <v>204</v>
      </c>
      <c r="E106" s="46" t="s">
        <v>22</v>
      </c>
      <c r="F106" s="47">
        <f>'memória de cálculo'!D94</f>
        <v>42.051000000000002</v>
      </c>
      <c r="G106" s="48">
        <v>34.93</v>
      </c>
      <c r="H106" s="62">
        <f>G106*(1+$H$11)</f>
        <v>42.778770999999999</v>
      </c>
      <c r="I106" s="45">
        <f t="shared" si="37"/>
        <v>1798.890099321</v>
      </c>
    </row>
    <row r="107" spans="1:9" ht="38.25" x14ac:dyDescent="0.25">
      <c r="A107" s="79" t="s">
        <v>95</v>
      </c>
      <c r="B107" s="46">
        <v>87893</v>
      </c>
      <c r="C107" s="46" t="s">
        <v>133</v>
      </c>
      <c r="D107" s="41" t="s">
        <v>149</v>
      </c>
      <c r="E107" s="46" t="s">
        <v>22</v>
      </c>
      <c r="F107" s="47">
        <f>'memória de cálculo'!D95</f>
        <v>42.051000000000002</v>
      </c>
      <c r="G107" s="48">
        <v>8.19</v>
      </c>
      <c r="H107" s="62">
        <f>G107*(1+$H$11)</f>
        <v>10.030292999999999</v>
      </c>
      <c r="I107" s="45">
        <f t="shared" si="37"/>
        <v>421.78385094299995</v>
      </c>
    </row>
    <row r="108" spans="1:9" ht="51" x14ac:dyDescent="0.25">
      <c r="A108" s="79" t="s">
        <v>96</v>
      </c>
      <c r="B108" s="46">
        <v>87792</v>
      </c>
      <c r="C108" s="46" t="s">
        <v>133</v>
      </c>
      <c r="D108" s="41" t="s">
        <v>150</v>
      </c>
      <c r="E108" s="46" t="s">
        <v>22</v>
      </c>
      <c r="F108" s="47">
        <f>'memória de cálculo'!D96</f>
        <v>42.051000000000002</v>
      </c>
      <c r="G108" s="48">
        <v>41.91</v>
      </c>
      <c r="H108" s="62">
        <f>G108*(1+$H$11)</f>
        <v>51.327176999999992</v>
      </c>
      <c r="I108" s="45">
        <f t="shared" si="37"/>
        <v>2158.3591200269998</v>
      </c>
    </row>
    <row r="109" spans="1:9" x14ac:dyDescent="0.25">
      <c r="A109" s="77" t="s">
        <v>62</v>
      </c>
      <c r="B109" s="66"/>
      <c r="C109" s="66"/>
      <c r="D109" s="67" t="s">
        <v>207</v>
      </c>
      <c r="E109" s="54"/>
      <c r="F109" s="55"/>
      <c r="G109" s="56"/>
      <c r="H109" s="68"/>
      <c r="I109" s="57">
        <f>SUM(I110:I111)</f>
        <v>10177.526433999999</v>
      </c>
    </row>
    <row r="110" spans="1:9" ht="25.5" x14ac:dyDescent="0.25">
      <c r="A110" s="79" t="s">
        <v>63</v>
      </c>
      <c r="B110" s="69">
        <v>96116</v>
      </c>
      <c r="C110" s="58" t="s">
        <v>133</v>
      </c>
      <c r="D110" s="70" t="s">
        <v>205</v>
      </c>
      <c r="E110" s="69" t="s">
        <v>22</v>
      </c>
      <c r="F110" s="71">
        <f>'memória de cálculo'!D98</f>
        <v>94</v>
      </c>
      <c r="G110" s="72">
        <v>63.92</v>
      </c>
      <c r="H110" s="62">
        <f>G110*(1+$H$11)</f>
        <v>78.282823999999991</v>
      </c>
      <c r="I110" s="45">
        <f t="shared" ref="I110:I118" si="38">H110*F110</f>
        <v>7358.5854559999989</v>
      </c>
    </row>
    <row r="111" spans="1:9" ht="38.25" x14ac:dyDescent="0.25">
      <c r="A111" s="79" t="s">
        <v>123</v>
      </c>
      <c r="B111" s="69">
        <v>97586</v>
      </c>
      <c r="C111" s="58" t="s">
        <v>133</v>
      </c>
      <c r="D111" s="70" t="s">
        <v>206</v>
      </c>
      <c r="E111" s="69" t="s">
        <v>12</v>
      </c>
      <c r="F111" s="71">
        <f>'memória de cálculo'!D99</f>
        <v>14</v>
      </c>
      <c r="G111" s="72">
        <v>164.41</v>
      </c>
      <c r="H111" s="62">
        <f>G111*(1+$H$11)</f>
        <v>201.35292699999997</v>
      </c>
      <c r="I111" s="45">
        <f t="shared" si="38"/>
        <v>2818.9409779999996</v>
      </c>
    </row>
    <row r="112" spans="1:9" x14ac:dyDescent="0.25">
      <c r="A112" s="77" t="s">
        <v>68</v>
      </c>
      <c r="B112" s="66"/>
      <c r="C112" s="66"/>
      <c r="D112" s="67" t="s">
        <v>32</v>
      </c>
      <c r="E112" s="54"/>
      <c r="F112" s="55"/>
      <c r="G112" s="56"/>
      <c r="H112" s="68"/>
      <c r="I112" s="57">
        <f>SUM(I113:I118)</f>
        <v>8071.1533918200003</v>
      </c>
    </row>
    <row r="113" spans="1:9" ht="25.5" x14ac:dyDescent="0.25">
      <c r="A113" s="79" t="s">
        <v>69</v>
      </c>
      <c r="B113" s="69">
        <v>97644</v>
      </c>
      <c r="C113" s="58" t="s">
        <v>133</v>
      </c>
      <c r="D113" s="70" t="s">
        <v>208</v>
      </c>
      <c r="E113" s="69" t="s">
        <v>22</v>
      </c>
      <c r="F113" s="71">
        <f>'memória de cálculo'!D101</f>
        <v>5.0400000000000009</v>
      </c>
      <c r="G113" s="72">
        <v>12.2</v>
      </c>
      <c r="H113" s="62">
        <f t="shared" ref="H113:H118" si="39">G113*(1+$H$11)</f>
        <v>14.941339999999999</v>
      </c>
      <c r="I113" s="45">
        <f t="shared" si="38"/>
        <v>75.304353600000013</v>
      </c>
    </row>
    <row r="114" spans="1:9" ht="38.25" x14ac:dyDescent="0.25">
      <c r="A114" s="79" t="s">
        <v>70</v>
      </c>
      <c r="B114" s="46" t="s">
        <v>135</v>
      </c>
      <c r="C114" s="46" t="s">
        <v>10</v>
      </c>
      <c r="D114" s="41" t="s">
        <v>202</v>
      </c>
      <c r="E114" s="46" t="s">
        <v>23</v>
      </c>
      <c r="F114" s="47">
        <f>'memória de cálculo'!D102</f>
        <v>0.25200000000000006</v>
      </c>
      <c r="G114" s="48">
        <v>106.9</v>
      </c>
      <c r="H114" s="62">
        <f t="shared" si="39"/>
        <v>130.92043000000001</v>
      </c>
      <c r="I114" s="45">
        <f t="shared" si="38"/>
        <v>32.991948360000009</v>
      </c>
    </row>
    <row r="115" spans="1:9" ht="38.25" x14ac:dyDescent="0.25">
      <c r="A115" s="79" t="s">
        <v>71</v>
      </c>
      <c r="B115" s="69">
        <v>90822</v>
      </c>
      <c r="C115" s="58" t="s">
        <v>133</v>
      </c>
      <c r="D115" s="70" t="s">
        <v>209</v>
      </c>
      <c r="E115" s="69" t="s">
        <v>12</v>
      </c>
      <c r="F115" s="71">
        <f>'memória de cálculo'!D103</f>
        <v>1</v>
      </c>
      <c r="G115" s="72">
        <v>424.47</v>
      </c>
      <c r="H115" s="62">
        <f t="shared" si="39"/>
        <v>519.84840899999995</v>
      </c>
      <c r="I115" s="45">
        <f t="shared" si="38"/>
        <v>519.84840899999995</v>
      </c>
    </row>
    <row r="116" spans="1:9" ht="63.75" x14ac:dyDescent="0.25">
      <c r="A116" s="79" t="s">
        <v>124</v>
      </c>
      <c r="B116" s="69">
        <v>100693</v>
      </c>
      <c r="C116" s="58" t="s">
        <v>133</v>
      </c>
      <c r="D116" s="70" t="s">
        <v>211</v>
      </c>
      <c r="E116" s="69" t="s">
        <v>12</v>
      </c>
      <c r="F116" s="71">
        <f>'memória de cálculo'!D104</f>
        <v>2</v>
      </c>
      <c r="G116" s="72">
        <v>2220.54</v>
      </c>
      <c r="H116" s="62">
        <f t="shared" si="39"/>
        <v>2719.4953379999997</v>
      </c>
      <c r="I116" s="45">
        <f t="shared" si="38"/>
        <v>5438.9906759999994</v>
      </c>
    </row>
    <row r="117" spans="1:9" ht="25.5" x14ac:dyDescent="0.25">
      <c r="A117" s="79" t="s">
        <v>125</v>
      </c>
      <c r="B117" s="69">
        <v>100659</v>
      </c>
      <c r="C117" s="58" t="s">
        <v>133</v>
      </c>
      <c r="D117" s="70" t="s">
        <v>210</v>
      </c>
      <c r="E117" s="69" t="s">
        <v>11</v>
      </c>
      <c r="F117" s="71">
        <f>'memória de cálculo'!D105</f>
        <v>20</v>
      </c>
      <c r="G117" s="72">
        <v>15.06</v>
      </c>
      <c r="H117" s="62">
        <f t="shared" si="39"/>
        <v>18.443981999999998</v>
      </c>
      <c r="I117" s="45">
        <f t="shared" si="38"/>
        <v>368.87963999999999</v>
      </c>
    </row>
    <row r="118" spans="1:9" ht="38.25" x14ac:dyDescent="0.25">
      <c r="A118" s="79" t="s">
        <v>213</v>
      </c>
      <c r="B118" s="69">
        <v>100702</v>
      </c>
      <c r="C118" s="58" t="s">
        <v>133</v>
      </c>
      <c r="D118" s="70" t="s">
        <v>212</v>
      </c>
      <c r="E118" s="69" t="s">
        <v>22</v>
      </c>
      <c r="F118" s="71">
        <f>'memória de cálculo'!D106</f>
        <v>2.8600000000000003</v>
      </c>
      <c r="G118" s="72">
        <v>466.83</v>
      </c>
      <c r="H118" s="62">
        <f t="shared" si="39"/>
        <v>571.72670099999993</v>
      </c>
      <c r="I118" s="45">
        <f t="shared" si="38"/>
        <v>1635.1383648599999</v>
      </c>
    </row>
    <row r="119" spans="1:9" x14ac:dyDescent="0.25">
      <c r="A119" s="77" t="s">
        <v>82</v>
      </c>
      <c r="B119" s="66"/>
      <c r="C119" s="66"/>
      <c r="D119" s="67" t="s">
        <v>79</v>
      </c>
      <c r="E119" s="54"/>
      <c r="F119" s="55"/>
      <c r="G119" s="56"/>
      <c r="H119" s="68"/>
      <c r="I119" s="57">
        <f>SUM(I120:I125)</f>
        <v>15745.846091337999</v>
      </c>
    </row>
    <row r="120" spans="1:9" ht="25.5" x14ac:dyDescent="0.25">
      <c r="A120" s="78" t="s">
        <v>83</v>
      </c>
      <c r="B120" s="69">
        <v>88485</v>
      </c>
      <c r="C120" s="58" t="s">
        <v>133</v>
      </c>
      <c r="D120" s="70" t="s">
        <v>217</v>
      </c>
      <c r="E120" s="69" t="s">
        <v>22</v>
      </c>
      <c r="F120" s="71">
        <f>'memória de cálculo'!D108</f>
        <v>236.458</v>
      </c>
      <c r="G120" s="72">
        <v>4.92</v>
      </c>
      <c r="H120" s="62">
        <f t="shared" ref="H120:H125" si="40">G120*(1+$H$11)</f>
        <v>6.025523999999999</v>
      </c>
      <c r="I120" s="45">
        <f t="shared" ref="I120" si="41">H120*F120</f>
        <v>1424.7833539919998</v>
      </c>
    </row>
    <row r="121" spans="1:9" ht="25.5" x14ac:dyDescent="0.25">
      <c r="A121" s="79" t="s">
        <v>220</v>
      </c>
      <c r="B121" s="69">
        <v>88489</v>
      </c>
      <c r="C121" s="58" t="s">
        <v>133</v>
      </c>
      <c r="D121" s="70" t="s">
        <v>214</v>
      </c>
      <c r="E121" s="69" t="s">
        <v>22</v>
      </c>
      <c r="F121" s="71">
        <f>'memória de cálculo'!D109</f>
        <v>236.458</v>
      </c>
      <c r="G121" s="72">
        <v>14.61</v>
      </c>
      <c r="H121" s="62">
        <f t="shared" si="40"/>
        <v>17.892866999999999</v>
      </c>
      <c r="I121" s="45">
        <f t="shared" ref="I121:I130" si="42">H121*F121</f>
        <v>4230.9115450859999</v>
      </c>
    </row>
    <row r="122" spans="1:9" ht="25.5" x14ac:dyDescent="0.25">
      <c r="A122" s="79" t="s">
        <v>221</v>
      </c>
      <c r="B122" s="69">
        <v>102193</v>
      </c>
      <c r="C122" s="58" t="s">
        <v>133</v>
      </c>
      <c r="D122" s="70" t="s">
        <v>215</v>
      </c>
      <c r="E122" s="69" t="s">
        <v>22</v>
      </c>
      <c r="F122" s="71">
        <f>'memória de cálculo'!D110</f>
        <v>41.6</v>
      </c>
      <c r="G122" s="72">
        <v>2.5099999999999998</v>
      </c>
      <c r="H122" s="62">
        <f t="shared" si="40"/>
        <v>3.0739969999999994</v>
      </c>
      <c r="I122" s="45">
        <f t="shared" si="42"/>
        <v>127.87827519999998</v>
      </c>
    </row>
    <row r="123" spans="1:9" ht="25.5" x14ac:dyDescent="0.25">
      <c r="A123" s="79" t="s">
        <v>222</v>
      </c>
      <c r="B123" s="69">
        <v>102229</v>
      </c>
      <c r="C123" s="58" t="s">
        <v>133</v>
      </c>
      <c r="D123" s="70" t="s">
        <v>216</v>
      </c>
      <c r="E123" s="69" t="s">
        <v>22</v>
      </c>
      <c r="F123" s="71">
        <f>'memória de cálculo'!D111</f>
        <v>51.68</v>
      </c>
      <c r="G123" s="72">
        <v>8.2899999999999991</v>
      </c>
      <c r="H123" s="62">
        <f t="shared" si="40"/>
        <v>10.152762999999998</v>
      </c>
      <c r="I123" s="45">
        <f t="shared" si="42"/>
        <v>524.69479183999988</v>
      </c>
    </row>
    <row r="124" spans="1:9" ht="51" x14ac:dyDescent="0.25">
      <c r="A124" s="79" t="s">
        <v>223</v>
      </c>
      <c r="B124" s="69">
        <v>100726</v>
      </c>
      <c r="C124" s="58" t="s">
        <v>133</v>
      </c>
      <c r="D124" s="70" t="s">
        <v>218</v>
      </c>
      <c r="E124" s="69" t="s">
        <v>22</v>
      </c>
      <c r="F124" s="71">
        <f>'memória de cálculo'!D112</f>
        <v>113.94</v>
      </c>
      <c r="G124" s="72">
        <v>33.79</v>
      </c>
      <c r="H124" s="62">
        <f t="shared" si="40"/>
        <v>41.382612999999992</v>
      </c>
      <c r="I124" s="45">
        <f t="shared" si="42"/>
        <v>4715.1349252199989</v>
      </c>
    </row>
    <row r="125" spans="1:9" ht="25.5" x14ac:dyDescent="0.25">
      <c r="A125" s="79" t="s">
        <v>224</v>
      </c>
      <c r="B125" s="69">
        <v>102491</v>
      </c>
      <c r="C125" s="58" t="s">
        <v>133</v>
      </c>
      <c r="D125" s="70" t="s">
        <v>219</v>
      </c>
      <c r="E125" s="69" t="s">
        <v>22</v>
      </c>
      <c r="F125" s="71">
        <f>'memória de cálculo'!D113</f>
        <v>160</v>
      </c>
      <c r="G125" s="72">
        <v>24.1</v>
      </c>
      <c r="H125" s="62">
        <f t="shared" si="40"/>
        <v>29.515270000000001</v>
      </c>
      <c r="I125" s="45">
        <f t="shared" ref="I125" si="43">H125*F125</f>
        <v>4722.4431999999997</v>
      </c>
    </row>
    <row r="126" spans="1:9" x14ac:dyDescent="0.25">
      <c r="A126" s="77" t="s">
        <v>84</v>
      </c>
      <c r="B126" s="66"/>
      <c r="C126" s="66"/>
      <c r="D126" s="67" t="s">
        <v>80</v>
      </c>
      <c r="E126" s="54"/>
      <c r="F126" s="55"/>
      <c r="G126" s="56"/>
      <c r="H126" s="68"/>
      <c r="I126" s="57">
        <f>SUM(I127:I130)</f>
        <v>16639.478794404</v>
      </c>
    </row>
    <row r="127" spans="1:9" ht="25.5" x14ac:dyDescent="0.25">
      <c r="A127" s="79" t="s">
        <v>85</v>
      </c>
      <c r="B127" s="69">
        <v>88489</v>
      </c>
      <c r="C127" s="58" t="s">
        <v>133</v>
      </c>
      <c r="D127" s="70" t="s">
        <v>214</v>
      </c>
      <c r="E127" s="69" t="s">
        <v>22</v>
      </c>
      <c r="F127" s="71">
        <f>'memória de cálculo'!D115</f>
        <v>328.97200000000004</v>
      </c>
      <c r="G127" s="72">
        <v>14.61</v>
      </c>
      <c r="H127" s="62">
        <f>G127*(1+$H$11)</f>
        <v>17.892866999999999</v>
      </c>
      <c r="I127" s="45">
        <f t="shared" ref="I127:I129" si="44">H127*F127</f>
        <v>5886.2522427240001</v>
      </c>
    </row>
    <row r="128" spans="1:9" ht="25.5" x14ac:dyDescent="0.25">
      <c r="A128" s="79" t="s">
        <v>86</v>
      </c>
      <c r="B128" s="69">
        <v>102193</v>
      </c>
      <c r="C128" s="58" t="s">
        <v>133</v>
      </c>
      <c r="D128" s="70" t="s">
        <v>215</v>
      </c>
      <c r="E128" s="69" t="s">
        <v>22</v>
      </c>
      <c r="F128" s="71">
        <f>'memória de cálculo'!D116</f>
        <v>73.920000000000016</v>
      </c>
      <c r="G128" s="72">
        <v>2.5099999999999998</v>
      </c>
      <c r="H128" s="62">
        <f>G128*(1+$H$11)</f>
        <v>3.0739969999999994</v>
      </c>
      <c r="I128" s="45">
        <f t="shared" si="44"/>
        <v>227.22985824</v>
      </c>
    </row>
    <row r="129" spans="1:9" ht="25.5" x14ac:dyDescent="0.25">
      <c r="A129" s="79" t="s">
        <v>87</v>
      </c>
      <c r="B129" s="69">
        <v>102229</v>
      </c>
      <c r="C129" s="58" t="s">
        <v>133</v>
      </c>
      <c r="D129" s="70" t="s">
        <v>216</v>
      </c>
      <c r="E129" s="69" t="s">
        <v>22</v>
      </c>
      <c r="F129" s="71">
        <f>'memória de cálculo'!D117</f>
        <v>73.920000000000016</v>
      </c>
      <c r="G129" s="72">
        <v>30.67</v>
      </c>
      <c r="H129" s="62">
        <f>G129*(1+$H$11)</f>
        <v>37.561548999999999</v>
      </c>
      <c r="I129" s="45">
        <f t="shared" si="44"/>
        <v>2776.5497020800008</v>
      </c>
    </row>
    <row r="130" spans="1:9" x14ac:dyDescent="0.25">
      <c r="A130" s="79" t="s">
        <v>225</v>
      </c>
      <c r="B130" s="69" t="s">
        <v>120</v>
      </c>
      <c r="C130" s="58" t="s">
        <v>10</v>
      </c>
      <c r="D130" s="70" t="s">
        <v>119</v>
      </c>
      <c r="E130" s="69" t="s">
        <v>22</v>
      </c>
      <c r="F130" s="71">
        <f>'memória de cálculo'!D118</f>
        <v>180.48000000000002</v>
      </c>
      <c r="G130" s="72">
        <v>35.06</v>
      </c>
      <c r="H130" s="62">
        <f>G130*(1+$H$11)</f>
        <v>42.937981999999998</v>
      </c>
      <c r="I130" s="45">
        <f t="shared" si="42"/>
        <v>7749.4469913600005</v>
      </c>
    </row>
    <row r="131" spans="1:9" ht="29.25" customHeight="1" x14ac:dyDescent="0.25">
      <c r="A131" s="80"/>
      <c r="B131" s="7"/>
      <c r="C131" s="7"/>
      <c r="D131" s="8"/>
      <c r="E131" s="123" t="s">
        <v>61</v>
      </c>
      <c r="F131" s="123"/>
      <c r="G131" s="123"/>
      <c r="H131" s="123"/>
      <c r="I131" s="9">
        <f>I126+I119+I112+I109+I103+I98+I93+I88+I80+I71+I67+I63+I53+I41+I28+I15</f>
        <v>230726.81927432265</v>
      </c>
    </row>
    <row r="133" spans="1:9" x14ac:dyDescent="0.25">
      <c r="E133" s="118"/>
      <c r="F133" s="118"/>
      <c r="G133" s="118"/>
      <c r="H133" s="118"/>
      <c r="I133" s="118"/>
    </row>
    <row r="134" spans="1:9" x14ac:dyDescent="0.25">
      <c r="E134" s="118" t="s">
        <v>343</v>
      </c>
      <c r="F134" s="118"/>
      <c r="G134" s="118"/>
      <c r="H134" s="118"/>
      <c r="I134" s="118"/>
    </row>
    <row r="135" spans="1:9" x14ac:dyDescent="0.25">
      <c r="E135" s="118"/>
      <c r="F135" s="118"/>
      <c r="G135" s="118"/>
      <c r="H135" s="118"/>
      <c r="I135" s="118"/>
    </row>
    <row r="136" spans="1:9" x14ac:dyDescent="0.25">
      <c r="E136" s="118" t="s">
        <v>326</v>
      </c>
      <c r="F136" s="118"/>
      <c r="G136" s="118"/>
      <c r="H136" s="118"/>
      <c r="I136" s="118"/>
    </row>
    <row r="137" spans="1:9" x14ac:dyDescent="0.25">
      <c r="E137" s="118" t="s">
        <v>327</v>
      </c>
      <c r="F137" s="118"/>
      <c r="G137" s="118"/>
      <c r="H137" s="118"/>
      <c r="I137" s="118"/>
    </row>
    <row r="138" spans="1:9" x14ac:dyDescent="0.25">
      <c r="E138" s="118" t="s">
        <v>328</v>
      </c>
      <c r="F138" s="118"/>
      <c r="G138" s="118"/>
      <c r="H138" s="118"/>
      <c r="I138" s="118"/>
    </row>
    <row r="139" spans="1:9" x14ac:dyDescent="0.25">
      <c r="E139" s="118" t="s">
        <v>329</v>
      </c>
      <c r="F139" s="118"/>
      <c r="G139" s="118"/>
      <c r="H139" s="118"/>
      <c r="I139" s="118"/>
    </row>
  </sheetData>
  <mergeCells count="13">
    <mergeCell ref="E137:I137"/>
    <mergeCell ref="E138:I138"/>
    <mergeCell ref="E139:I139"/>
    <mergeCell ref="E131:H131"/>
    <mergeCell ref="G5:G7"/>
    <mergeCell ref="G9:G10"/>
    <mergeCell ref="E133:I133"/>
    <mergeCell ref="E136:I136"/>
    <mergeCell ref="A8:I8"/>
    <mergeCell ref="E134:I134"/>
    <mergeCell ref="E135:I135"/>
    <mergeCell ref="A9:D9"/>
    <mergeCell ref="A10:D10"/>
  </mergeCells>
  <conditionalFormatting sqref="A20:G20 E21:G21 C21 I23 I20:I21 A17:A23 A15:I15 B32:G36 I32:I36 I64 E64:G64 A64:A66 I66 I73 I56:I61 A81:A87 A89:A92 A94:A97 A99:A100 A104:A108 I75 B75:G75 B77:G77 A72:A79 A110:A111 A113:A118 A121:A124 A127:A129 A130:D130 I130 E56:G62 A56:A62 I40 E40:G40 A29:A52">
    <cfRule type="expression" dxfId="339" priority="583">
      <formula>IF($L15="I",TRUE,FALSE)</formula>
    </cfRule>
    <cfRule type="expression" dxfId="338" priority="584">
      <formula>IF($L15="T",TRUE,FALSE)</formula>
    </cfRule>
  </conditionalFormatting>
  <conditionalFormatting sqref="C20:C21 C15 C32:C36 C75 C77 C130">
    <cfRule type="expression" dxfId="337" priority="582">
      <formula>IF($L15="I",TRUE,FALSE)</formula>
    </cfRule>
  </conditionalFormatting>
  <conditionalFormatting sqref="E16:G19 A16:A19 I16:I19">
    <cfRule type="expression" dxfId="336" priority="398">
      <formula>IF($L16="I",TRUE,FALSE)</formula>
    </cfRule>
    <cfRule type="expression" dxfId="335" priority="399">
      <formula>IF($L16="T",TRUE,FALSE)</formula>
    </cfRule>
  </conditionalFormatting>
  <conditionalFormatting sqref="I22 E22:G22 A22">
    <cfRule type="expression" dxfId="334" priority="396">
      <formula>IF($L22="I",TRUE,FALSE)</formula>
    </cfRule>
    <cfRule type="expression" dxfId="333" priority="397">
      <formula>IF($L22="T",TRUE,FALSE)</formula>
    </cfRule>
  </conditionalFormatting>
  <conditionalFormatting sqref="E41:G41 I41">
    <cfRule type="expression" dxfId="332" priority="385">
      <formula>IF($L41="I",TRUE,FALSE)</formula>
    </cfRule>
    <cfRule type="expression" dxfId="331" priority="386">
      <formula>IF($L41="T",TRUE,FALSE)</formula>
    </cfRule>
  </conditionalFormatting>
  <conditionalFormatting sqref="E38:G38 I38">
    <cfRule type="expression" dxfId="330" priority="390">
      <formula>IF($L38="I",TRUE,FALSE)</formula>
    </cfRule>
    <cfRule type="expression" dxfId="329" priority="391">
      <formula>IF($L38="T",TRUE,FALSE)</formula>
    </cfRule>
  </conditionalFormatting>
  <conditionalFormatting sqref="B92:D92 B94:D97 B110:D111 B113:D113 B115:D118 B121:D124">
    <cfRule type="expression" dxfId="328" priority="377">
      <formula>IF($L92="I",TRUE,FALSE)</formula>
    </cfRule>
    <cfRule type="expression" dxfId="327" priority="378">
      <formula>IF($L92="T",TRUE,FALSE)</formula>
    </cfRule>
  </conditionalFormatting>
  <conditionalFormatting sqref="C92 C94:C97 C110:C111 C113 C115:C118 C121:C124">
    <cfRule type="expression" dxfId="326" priority="376">
      <formula>IF($L92="I",TRUE,FALSE)</formula>
    </cfRule>
  </conditionalFormatting>
  <conditionalFormatting sqref="E23:G23">
    <cfRule type="expression" dxfId="325" priority="244">
      <formula>IF($L23="I",TRUE,FALSE)</formula>
    </cfRule>
    <cfRule type="expression" dxfId="324" priority="245">
      <formula>IF($L23="T",TRUE,FALSE)</formula>
    </cfRule>
  </conditionalFormatting>
  <conditionalFormatting sqref="A21">
    <cfRule type="expression" dxfId="323" priority="239">
      <formula>IF($L21="I",TRUE,FALSE)</formula>
    </cfRule>
    <cfRule type="expression" dxfId="322" priority="240">
      <formula>IF($L21="T",TRUE,FALSE)</formula>
    </cfRule>
  </conditionalFormatting>
  <conditionalFormatting sqref="A20">
    <cfRule type="expression" dxfId="321" priority="237">
      <formula>IF($L20="I",TRUE,FALSE)</formula>
    </cfRule>
    <cfRule type="expression" dxfId="320" priority="238">
      <formula>IF($L20="T",TRUE,FALSE)</formula>
    </cfRule>
  </conditionalFormatting>
  <conditionalFormatting sqref="E39:G39">
    <cfRule type="expression" dxfId="319" priority="215">
      <formula>IF($L39="I",TRUE,FALSE)</formula>
    </cfRule>
    <cfRule type="expression" dxfId="318" priority="216">
      <formula>IF($L39="T",TRUE,FALSE)</formula>
    </cfRule>
  </conditionalFormatting>
  <conditionalFormatting sqref="C28">
    <cfRule type="expression" dxfId="317" priority="241">
      <formula>IF($L28="I",TRUE,FALSE)</formula>
    </cfRule>
  </conditionalFormatting>
  <conditionalFormatting sqref="A21">
    <cfRule type="expression" dxfId="316" priority="248">
      <formula>IF($L21="I",TRUE,FALSE)</formula>
    </cfRule>
    <cfRule type="expression" dxfId="315" priority="249">
      <formula>IF($L21="T",TRUE,FALSE)</formula>
    </cfRule>
  </conditionalFormatting>
  <conditionalFormatting sqref="A28:I28">
    <cfRule type="expression" dxfId="314" priority="242">
      <formula>IF($L28="I",TRUE,FALSE)</formula>
    </cfRule>
    <cfRule type="expression" dxfId="313" priority="243">
      <formula>IF($L28="T",TRUE,FALSE)</formula>
    </cfRule>
  </conditionalFormatting>
  <conditionalFormatting sqref="A21">
    <cfRule type="expression" dxfId="312" priority="235">
      <formula>IF($L21="I",TRUE,FALSE)</formula>
    </cfRule>
    <cfRule type="expression" dxfId="311" priority="236">
      <formula>IF($L21="T",TRUE,FALSE)</formula>
    </cfRule>
  </conditionalFormatting>
  <conditionalFormatting sqref="A19">
    <cfRule type="expression" dxfId="310" priority="229">
      <formula>IF($L19="I",TRUE,FALSE)</formula>
    </cfRule>
    <cfRule type="expression" dxfId="309" priority="230">
      <formula>IF($L19="T",TRUE,FALSE)</formula>
    </cfRule>
  </conditionalFormatting>
  <conditionalFormatting sqref="A20">
    <cfRule type="expression" dxfId="308" priority="233">
      <formula>IF($L20="I",TRUE,FALSE)</formula>
    </cfRule>
    <cfRule type="expression" dxfId="307" priority="234">
      <formula>IF($L20="T",TRUE,FALSE)</formula>
    </cfRule>
  </conditionalFormatting>
  <conditionalFormatting sqref="A20">
    <cfRule type="expression" dxfId="306" priority="231">
      <formula>IF($L20="I",TRUE,FALSE)</formula>
    </cfRule>
    <cfRule type="expression" dxfId="305" priority="232">
      <formula>IF($L20="T",TRUE,FALSE)</formula>
    </cfRule>
  </conditionalFormatting>
  <conditionalFormatting sqref="I30 E30:G30">
    <cfRule type="expression" dxfId="304" priority="224">
      <formula>IF($L30="I",TRUE,FALSE)</formula>
    </cfRule>
    <cfRule type="expression" dxfId="303" priority="225">
      <formula>IF($L30="T",TRUE,FALSE)</formula>
    </cfRule>
  </conditionalFormatting>
  <conditionalFormatting sqref="I31 E31:G31">
    <cfRule type="expression" dxfId="302" priority="222">
      <formula>IF($L31="I",TRUE,FALSE)</formula>
    </cfRule>
    <cfRule type="expression" dxfId="301" priority="223">
      <formula>IF($L31="T",TRUE,FALSE)</formula>
    </cfRule>
  </conditionalFormatting>
  <conditionalFormatting sqref="E37:G37 C37 I37">
    <cfRule type="expression" dxfId="300" priority="220">
      <formula>IF($L37="I",TRUE,FALSE)</formula>
    </cfRule>
    <cfRule type="expression" dxfId="299" priority="221">
      <formula>IF($L37="T",TRUE,FALSE)</formula>
    </cfRule>
  </conditionalFormatting>
  <conditionalFormatting sqref="C37">
    <cfRule type="expression" dxfId="298" priority="219">
      <formula>IF($L37="I",TRUE,FALSE)</formula>
    </cfRule>
  </conditionalFormatting>
  <conditionalFormatting sqref="I39">
    <cfRule type="expression" dxfId="297" priority="217">
      <formula>IF($L39="I",TRUE,FALSE)</formula>
    </cfRule>
    <cfRule type="expression" dxfId="296" priority="218">
      <formula>IF($L39="T",TRUE,FALSE)</formula>
    </cfRule>
  </conditionalFormatting>
  <conditionalFormatting sqref="B48:G48 I48 B66:G66 B72:G73 B83:G83">
    <cfRule type="expression" dxfId="295" priority="213">
      <formula>IF($L48="I",TRUE,FALSE)</formula>
    </cfRule>
    <cfRule type="expression" dxfId="294" priority="214">
      <formula>IF($L48="T",TRUE,FALSE)</formula>
    </cfRule>
  </conditionalFormatting>
  <conditionalFormatting sqref="C48 C66 C72:C73 C83">
    <cfRule type="expression" dxfId="293" priority="212">
      <formula>IF($L48="I",TRUE,FALSE)</formula>
    </cfRule>
  </conditionalFormatting>
  <conditionalFormatting sqref="I43 E43:G43">
    <cfRule type="expression" dxfId="292" priority="210">
      <formula>IF($L43="I",TRUE,FALSE)</formula>
    </cfRule>
    <cfRule type="expression" dxfId="291" priority="211">
      <formula>IF($L43="T",TRUE,FALSE)</formula>
    </cfRule>
  </conditionalFormatting>
  <conditionalFormatting sqref="E44:G47">
    <cfRule type="expression" dxfId="290" priority="208">
      <formula>IF($L44="I",TRUE,FALSE)</formula>
    </cfRule>
    <cfRule type="expression" dxfId="289" priority="209">
      <formula>IF($L44="T",TRUE,FALSE)</formula>
    </cfRule>
  </conditionalFormatting>
  <conditionalFormatting sqref="I52 E52:G52">
    <cfRule type="expression" dxfId="288" priority="206">
      <formula>IF($L52="I",TRUE,FALSE)</formula>
    </cfRule>
    <cfRule type="expression" dxfId="287" priority="207">
      <formula>IF($L52="T",TRUE,FALSE)</formula>
    </cfRule>
  </conditionalFormatting>
  <conditionalFormatting sqref="E50:G50 I50">
    <cfRule type="expression" dxfId="286" priority="204">
      <formula>IF($L50="I",TRUE,FALSE)</formula>
    </cfRule>
    <cfRule type="expression" dxfId="285" priority="205">
      <formula>IF($L50="T",TRUE,FALSE)</formula>
    </cfRule>
  </conditionalFormatting>
  <conditionalFormatting sqref="E51:G51">
    <cfRule type="expression" dxfId="284" priority="197">
      <formula>IF($L51="I",TRUE,FALSE)</formula>
    </cfRule>
    <cfRule type="expression" dxfId="283" priority="198">
      <formula>IF($L51="T",TRUE,FALSE)</formula>
    </cfRule>
  </conditionalFormatting>
  <conditionalFormatting sqref="E49:G49 C49 I49">
    <cfRule type="expression" dxfId="282" priority="202">
      <formula>IF($L49="I",TRUE,FALSE)</formula>
    </cfRule>
    <cfRule type="expression" dxfId="281" priority="203">
      <formula>IF($L49="T",TRUE,FALSE)</formula>
    </cfRule>
  </conditionalFormatting>
  <conditionalFormatting sqref="C49">
    <cfRule type="expression" dxfId="280" priority="201">
      <formula>IF($L49="I",TRUE,FALSE)</formula>
    </cfRule>
  </conditionalFormatting>
  <conditionalFormatting sqref="I51">
    <cfRule type="expression" dxfId="279" priority="199">
      <formula>IF($L51="I",TRUE,FALSE)</formula>
    </cfRule>
    <cfRule type="expression" dxfId="278" priority="200">
      <formula>IF($L51="T",TRUE,FALSE)</formula>
    </cfRule>
  </conditionalFormatting>
  <conditionalFormatting sqref="A53">
    <cfRule type="expression" dxfId="277" priority="195">
      <formula>IF($L53="I",TRUE,FALSE)</formula>
    </cfRule>
    <cfRule type="expression" dxfId="276" priority="196">
      <formula>IF($L53="T",TRUE,FALSE)</formula>
    </cfRule>
  </conditionalFormatting>
  <conditionalFormatting sqref="E53:G53 I53">
    <cfRule type="expression" dxfId="275" priority="193">
      <formula>IF($L53="I",TRUE,FALSE)</formula>
    </cfRule>
    <cfRule type="expression" dxfId="274" priority="194">
      <formula>IF($L53="T",TRUE,FALSE)</formula>
    </cfRule>
  </conditionalFormatting>
  <conditionalFormatting sqref="A63">
    <cfRule type="expression" dxfId="273" priority="179">
      <formula>IF($L63="I",TRUE,FALSE)</formula>
    </cfRule>
    <cfRule type="expression" dxfId="272" priority="180">
      <formula>IF($L63="T",TRUE,FALSE)</formula>
    </cfRule>
  </conditionalFormatting>
  <conditionalFormatting sqref="E63:G63 I63">
    <cfRule type="expression" dxfId="271" priority="177">
      <formula>IF($L63="I",TRUE,FALSE)</formula>
    </cfRule>
    <cfRule type="expression" dxfId="270" priority="178">
      <formula>IF($L63="T",TRUE,FALSE)</formula>
    </cfRule>
  </conditionalFormatting>
  <conditionalFormatting sqref="B65:G65 I65">
    <cfRule type="expression" dxfId="269" priority="175">
      <formula>IF($L65="I",TRUE,FALSE)</formula>
    </cfRule>
    <cfRule type="expression" dxfId="268" priority="176">
      <formula>IF($L65="T",TRUE,FALSE)</formula>
    </cfRule>
  </conditionalFormatting>
  <conditionalFormatting sqref="C65">
    <cfRule type="expression" dxfId="267" priority="174">
      <formula>IF($L65="I",TRUE,FALSE)</formula>
    </cfRule>
  </conditionalFormatting>
  <conditionalFormatting sqref="A67">
    <cfRule type="expression" dxfId="266" priority="172">
      <formula>IF($L67="I",TRUE,FALSE)</formula>
    </cfRule>
    <cfRule type="expression" dxfId="265" priority="173">
      <formula>IF($L67="T",TRUE,FALSE)</formula>
    </cfRule>
  </conditionalFormatting>
  <conditionalFormatting sqref="E67:G67 I67">
    <cfRule type="expression" dxfId="264" priority="170">
      <formula>IF($L67="I",TRUE,FALSE)</formula>
    </cfRule>
    <cfRule type="expression" dxfId="263" priority="171">
      <formula>IF($L67="T",TRUE,FALSE)</formula>
    </cfRule>
  </conditionalFormatting>
  <conditionalFormatting sqref="I68 A68:A70 I70">
    <cfRule type="expression" dxfId="262" priority="168">
      <formula>IF($L68="I",TRUE,FALSE)</formula>
    </cfRule>
    <cfRule type="expression" dxfId="261" priority="169">
      <formula>IF($L68="T",TRUE,FALSE)</formula>
    </cfRule>
  </conditionalFormatting>
  <conditionalFormatting sqref="B68:G68 B70:G70">
    <cfRule type="expression" dxfId="260" priority="166">
      <formula>IF($L68="I",TRUE,FALSE)</formula>
    </cfRule>
    <cfRule type="expression" dxfId="259" priority="167">
      <formula>IF($L68="T",TRUE,FALSE)</formula>
    </cfRule>
  </conditionalFormatting>
  <conditionalFormatting sqref="C68 C70">
    <cfRule type="expression" dxfId="258" priority="165">
      <formula>IF($L68="I",TRUE,FALSE)</formula>
    </cfRule>
  </conditionalFormatting>
  <conditionalFormatting sqref="I69">
    <cfRule type="expression" dxfId="257" priority="163">
      <formula>IF($L69="I",TRUE,FALSE)</formula>
    </cfRule>
    <cfRule type="expression" dxfId="256" priority="164">
      <formula>IF($L69="T",TRUE,FALSE)</formula>
    </cfRule>
  </conditionalFormatting>
  <conditionalFormatting sqref="B69:G69">
    <cfRule type="expression" dxfId="255" priority="161">
      <formula>IF($L69="I",TRUE,FALSE)</formula>
    </cfRule>
    <cfRule type="expression" dxfId="254" priority="162">
      <formula>IF($L69="T",TRUE,FALSE)</formula>
    </cfRule>
  </conditionalFormatting>
  <conditionalFormatting sqref="C69">
    <cfRule type="expression" dxfId="253" priority="160">
      <formula>IF($L69="I",TRUE,FALSE)</formula>
    </cfRule>
  </conditionalFormatting>
  <conditionalFormatting sqref="A71">
    <cfRule type="expression" dxfId="252" priority="158">
      <formula>IF($L71="I",TRUE,FALSE)</formula>
    </cfRule>
    <cfRule type="expression" dxfId="251" priority="159">
      <formula>IF($L71="T",TRUE,FALSE)</formula>
    </cfRule>
  </conditionalFormatting>
  <conditionalFormatting sqref="E71:G71 I71">
    <cfRule type="expression" dxfId="250" priority="156">
      <formula>IF($L71="I",TRUE,FALSE)</formula>
    </cfRule>
    <cfRule type="expression" dxfId="249" priority="157">
      <formula>IF($L71="T",TRUE,FALSE)</formula>
    </cfRule>
  </conditionalFormatting>
  <conditionalFormatting sqref="I72">
    <cfRule type="expression" dxfId="248" priority="154">
      <formula>IF($L72="I",TRUE,FALSE)</formula>
    </cfRule>
    <cfRule type="expression" dxfId="247" priority="155">
      <formula>IF($L72="T",TRUE,FALSE)</formula>
    </cfRule>
  </conditionalFormatting>
  <conditionalFormatting sqref="B74:G74 I74">
    <cfRule type="expression" dxfId="246" priority="148">
      <formula>IF($L74="I",TRUE,FALSE)</formula>
    </cfRule>
    <cfRule type="expression" dxfId="245" priority="149">
      <formula>IF($L74="T",TRUE,FALSE)</formula>
    </cfRule>
  </conditionalFormatting>
  <conditionalFormatting sqref="C74">
    <cfRule type="expression" dxfId="244" priority="147">
      <formula>IF($L74="I",TRUE,FALSE)</formula>
    </cfRule>
  </conditionalFormatting>
  <conditionalFormatting sqref="A80">
    <cfRule type="expression" dxfId="243" priority="145">
      <formula>IF($L80="I",TRUE,FALSE)</formula>
    </cfRule>
    <cfRule type="expression" dxfId="242" priority="146">
      <formula>IF($L80="T",TRUE,FALSE)</formula>
    </cfRule>
  </conditionalFormatting>
  <conditionalFormatting sqref="E80:G80 I80">
    <cfRule type="expression" dxfId="241" priority="143">
      <formula>IF($L80="I",TRUE,FALSE)</formula>
    </cfRule>
    <cfRule type="expression" dxfId="240" priority="144">
      <formula>IF($L80="T",TRUE,FALSE)</formula>
    </cfRule>
  </conditionalFormatting>
  <conditionalFormatting sqref="A103">
    <cfRule type="expression" dxfId="239" priority="105">
      <formula>IF($L103="I",TRUE,FALSE)</formula>
    </cfRule>
    <cfRule type="expression" dxfId="238" priority="106">
      <formula>IF($L103="T",TRUE,FALSE)</formula>
    </cfRule>
  </conditionalFormatting>
  <conditionalFormatting sqref="E103:G103 I103">
    <cfRule type="expression" dxfId="237" priority="103">
      <formula>IF($L103="I",TRUE,FALSE)</formula>
    </cfRule>
    <cfRule type="expression" dxfId="236" priority="104">
      <formula>IF($L103="T",TRUE,FALSE)</formula>
    </cfRule>
  </conditionalFormatting>
  <conditionalFormatting sqref="B82:G82 I82">
    <cfRule type="expression" dxfId="235" priority="137">
      <formula>IF($L82="I",TRUE,FALSE)</formula>
    </cfRule>
    <cfRule type="expression" dxfId="234" priority="138">
      <formula>IF($L82="T",TRUE,FALSE)</formula>
    </cfRule>
  </conditionalFormatting>
  <conditionalFormatting sqref="C82">
    <cfRule type="expression" dxfId="233" priority="136">
      <formula>IF($L82="I",TRUE,FALSE)</formula>
    </cfRule>
  </conditionalFormatting>
  <conditionalFormatting sqref="I83">
    <cfRule type="expression" dxfId="232" priority="134">
      <formula>IF($L83="I",TRUE,FALSE)</formula>
    </cfRule>
    <cfRule type="expression" dxfId="231" priority="135">
      <formula>IF($L83="T",TRUE,FALSE)</formula>
    </cfRule>
  </conditionalFormatting>
  <conditionalFormatting sqref="I84:I85 E84:G85">
    <cfRule type="expression" dxfId="230" priority="132">
      <formula>IF($L84="I",TRUE,FALSE)</formula>
    </cfRule>
    <cfRule type="expression" dxfId="229" priority="133">
      <formula>IF($L84="T",TRUE,FALSE)</formula>
    </cfRule>
  </conditionalFormatting>
  <conditionalFormatting sqref="B86:G87 I86:I87 B89:G89 B91:G91">
    <cfRule type="expression" dxfId="228" priority="130">
      <formula>IF($L86="I",TRUE,FALSE)</formula>
    </cfRule>
    <cfRule type="expression" dxfId="227" priority="131">
      <formula>IF($L86="T",TRUE,FALSE)</formula>
    </cfRule>
  </conditionalFormatting>
  <conditionalFormatting sqref="C86:C87 C89 C91">
    <cfRule type="expression" dxfId="226" priority="129">
      <formula>IF($L86="I",TRUE,FALSE)</formula>
    </cfRule>
  </conditionalFormatting>
  <conditionalFormatting sqref="A88">
    <cfRule type="expression" dxfId="225" priority="127">
      <formula>IF($L88="I",TRUE,FALSE)</formula>
    </cfRule>
    <cfRule type="expression" dxfId="224" priority="128">
      <formula>IF($L88="T",TRUE,FALSE)</formula>
    </cfRule>
  </conditionalFormatting>
  <conditionalFormatting sqref="E88:G88 I88">
    <cfRule type="expression" dxfId="223" priority="125">
      <formula>IF($L88="I",TRUE,FALSE)</formula>
    </cfRule>
    <cfRule type="expression" dxfId="222" priority="126">
      <formula>IF($L88="T",TRUE,FALSE)</formula>
    </cfRule>
  </conditionalFormatting>
  <conditionalFormatting sqref="I89 I91:I92">
    <cfRule type="expression" dxfId="221" priority="123">
      <formula>IF($L89="I",TRUE,FALSE)</formula>
    </cfRule>
    <cfRule type="expression" dxfId="220" priority="124">
      <formula>IF($L89="T",TRUE,FALSE)</formula>
    </cfRule>
  </conditionalFormatting>
  <conditionalFormatting sqref="B90:G90 I90">
    <cfRule type="expression" dxfId="219" priority="121">
      <formula>IF($L90="I",TRUE,FALSE)</formula>
    </cfRule>
    <cfRule type="expression" dxfId="218" priority="122">
      <formula>IF($L90="T",TRUE,FALSE)</formula>
    </cfRule>
  </conditionalFormatting>
  <conditionalFormatting sqref="C90">
    <cfRule type="expression" dxfId="217" priority="120">
      <formula>IF($L90="I",TRUE,FALSE)</formula>
    </cfRule>
  </conditionalFormatting>
  <conditionalFormatting sqref="A93">
    <cfRule type="expression" dxfId="216" priority="118">
      <formula>IF($L93="I",TRUE,FALSE)</formula>
    </cfRule>
    <cfRule type="expression" dxfId="215" priority="119">
      <formula>IF($L93="T",TRUE,FALSE)</formula>
    </cfRule>
  </conditionalFormatting>
  <conditionalFormatting sqref="E93:G93 I93">
    <cfRule type="expression" dxfId="214" priority="116">
      <formula>IF($L93="I",TRUE,FALSE)</formula>
    </cfRule>
    <cfRule type="expression" dxfId="213" priority="117">
      <formula>IF($L93="T",TRUE,FALSE)</formula>
    </cfRule>
  </conditionalFormatting>
  <conditionalFormatting sqref="I94:I97">
    <cfRule type="expression" dxfId="212" priority="114">
      <formula>IF($L94="I",TRUE,FALSE)</formula>
    </cfRule>
    <cfRule type="expression" dxfId="211" priority="115">
      <formula>IF($L94="T",TRUE,FALSE)</formula>
    </cfRule>
  </conditionalFormatting>
  <conditionalFormatting sqref="A98">
    <cfRule type="expression" dxfId="210" priority="112">
      <formula>IF($L98="I",TRUE,FALSE)</formula>
    </cfRule>
    <cfRule type="expression" dxfId="209" priority="113">
      <formula>IF($L98="T",TRUE,FALSE)</formula>
    </cfRule>
  </conditionalFormatting>
  <conditionalFormatting sqref="E98:G98 I98">
    <cfRule type="expression" dxfId="208" priority="110">
      <formula>IF($L98="I",TRUE,FALSE)</formula>
    </cfRule>
    <cfRule type="expression" dxfId="207" priority="111">
      <formula>IF($L98="T",TRUE,FALSE)</formula>
    </cfRule>
  </conditionalFormatting>
  <conditionalFormatting sqref="B100:G100 I100">
    <cfRule type="expression" dxfId="206" priority="108">
      <formula>IF($L100="I",TRUE,FALSE)</formula>
    </cfRule>
    <cfRule type="expression" dxfId="205" priority="109">
      <formula>IF($L100="T",TRUE,FALSE)</formula>
    </cfRule>
  </conditionalFormatting>
  <conditionalFormatting sqref="C100">
    <cfRule type="expression" dxfId="204" priority="107">
      <formula>IF($L100="I",TRUE,FALSE)</formula>
    </cfRule>
  </conditionalFormatting>
  <conditionalFormatting sqref="B78:G79 I78:I79">
    <cfRule type="expression" dxfId="203" priority="101">
      <formula>IF($L78="I",TRUE,FALSE)</formula>
    </cfRule>
    <cfRule type="expression" dxfId="202" priority="102">
      <formula>IF($L78="T",TRUE,FALSE)</formula>
    </cfRule>
  </conditionalFormatting>
  <conditionalFormatting sqref="C78:C79">
    <cfRule type="expression" dxfId="201" priority="100">
      <formula>IF($L78="I",TRUE,FALSE)</formula>
    </cfRule>
  </conditionalFormatting>
  <conditionalFormatting sqref="I77">
    <cfRule type="expression" dxfId="200" priority="98">
      <formula>IF($L77="I",TRUE,FALSE)</formula>
    </cfRule>
    <cfRule type="expression" dxfId="199" priority="99">
      <formula>IF($L77="T",TRUE,FALSE)</formula>
    </cfRule>
  </conditionalFormatting>
  <conditionalFormatting sqref="B76:G76 I76">
    <cfRule type="expression" dxfId="198" priority="96">
      <formula>IF($L76="I",TRUE,FALSE)</formula>
    </cfRule>
    <cfRule type="expression" dxfId="197" priority="97">
      <formula>IF($L76="T",TRUE,FALSE)</formula>
    </cfRule>
  </conditionalFormatting>
  <conditionalFormatting sqref="C76">
    <cfRule type="expression" dxfId="196" priority="95">
      <formula>IF($L76="I",TRUE,FALSE)</formula>
    </cfRule>
  </conditionalFormatting>
  <conditionalFormatting sqref="I104 B104:G104 B106:G106">
    <cfRule type="expression" dxfId="195" priority="93">
      <formula>IF($L104="I",TRUE,FALSE)</formula>
    </cfRule>
    <cfRule type="expression" dxfId="194" priority="94">
      <formula>IF($L104="T",TRUE,FALSE)</formula>
    </cfRule>
  </conditionalFormatting>
  <conditionalFormatting sqref="C104 C106">
    <cfRule type="expression" dxfId="193" priority="92">
      <formula>IF($L104="I",TRUE,FALSE)</formula>
    </cfRule>
  </conditionalFormatting>
  <conditionalFormatting sqref="B107:G108 I107:I108">
    <cfRule type="expression" dxfId="192" priority="90">
      <formula>IF($L107="I",TRUE,FALSE)</formula>
    </cfRule>
    <cfRule type="expression" dxfId="191" priority="91">
      <formula>IF($L107="T",TRUE,FALSE)</formula>
    </cfRule>
  </conditionalFormatting>
  <conditionalFormatting sqref="C107:C108">
    <cfRule type="expression" dxfId="190" priority="89">
      <formula>IF($L107="I",TRUE,FALSE)</formula>
    </cfRule>
  </conditionalFormatting>
  <conditionalFormatting sqref="I106">
    <cfRule type="expression" dxfId="189" priority="87">
      <formula>IF($L106="I",TRUE,FALSE)</formula>
    </cfRule>
    <cfRule type="expression" dxfId="188" priority="88">
      <formula>IF($L106="T",TRUE,FALSE)</formula>
    </cfRule>
  </conditionalFormatting>
  <conditionalFormatting sqref="B105:G105 I105">
    <cfRule type="expression" dxfId="187" priority="85">
      <formula>IF($L105="I",TRUE,FALSE)</formula>
    </cfRule>
    <cfRule type="expression" dxfId="186" priority="86">
      <formula>IF($L105="T",TRUE,FALSE)</formula>
    </cfRule>
  </conditionalFormatting>
  <conditionalFormatting sqref="C105">
    <cfRule type="expression" dxfId="185" priority="84">
      <formula>IF($L105="I",TRUE,FALSE)</formula>
    </cfRule>
  </conditionalFormatting>
  <conditionalFormatting sqref="A109">
    <cfRule type="expression" dxfId="184" priority="82">
      <formula>IF($L109="I",TRUE,FALSE)</formula>
    </cfRule>
    <cfRule type="expression" dxfId="183" priority="83">
      <formula>IF($L109="T",TRUE,FALSE)</formula>
    </cfRule>
  </conditionalFormatting>
  <conditionalFormatting sqref="E109:G109 I109">
    <cfRule type="expression" dxfId="182" priority="80">
      <formula>IF($L109="I",TRUE,FALSE)</formula>
    </cfRule>
    <cfRule type="expression" dxfId="181" priority="81">
      <formula>IF($L109="T",TRUE,FALSE)</formula>
    </cfRule>
  </conditionalFormatting>
  <conditionalFormatting sqref="I110:I111 I113 I115:I118">
    <cfRule type="expression" dxfId="180" priority="78">
      <formula>IF($L110="I",TRUE,FALSE)</formula>
    </cfRule>
    <cfRule type="expression" dxfId="179" priority="79">
      <formula>IF($L110="T",TRUE,FALSE)</formula>
    </cfRule>
  </conditionalFormatting>
  <conditionalFormatting sqref="A112">
    <cfRule type="expression" dxfId="178" priority="76">
      <formula>IF($L112="I",TRUE,FALSE)</formula>
    </cfRule>
    <cfRule type="expression" dxfId="177" priority="77">
      <formula>IF($L112="T",TRUE,FALSE)</formula>
    </cfRule>
  </conditionalFormatting>
  <conditionalFormatting sqref="E112:G112 I112">
    <cfRule type="expression" dxfId="176" priority="74">
      <formula>IF($L112="I",TRUE,FALSE)</formula>
    </cfRule>
    <cfRule type="expression" dxfId="175" priority="75">
      <formula>IF($L112="T",TRUE,FALSE)</formula>
    </cfRule>
  </conditionalFormatting>
  <conditionalFormatting sqref="B114:G114 I114">
    <cfRule type="expression" dxfId="174" priority="72">
      <formula>IF($L114="I",TRUE,FALSE)</formula>
    </cfRule>
    <cfRule type="expression" dxfId="173" priority="73">
      <formula>IF($L114="T",TRUE,FALSE)</formula>
    </cfRule>
  </conditionalFormatting>
  <conditionalFormatting sqref="C114">
    <cfRule type="expression" dxfId="172" priority="71">
      <formula>IF($L114="I",TRUE,FALSE)</formula>
    </cfRule>
  </conditionalFormatting>
  <conditionalFormatting sqref="A119:A120">
    <cfRule type="expression" dxfId="171" priority="69">
      <formula>IF($L119="I",TRUE,FALSE)</formula>
    </cfRule>
    <cfRule type="expression" dxfId="170" priority="70">
      <formula>IF($L119="T",TRUE,FALSE)</formula>
    </cfRule>
  </conditionalFormatting>
  <conditionalFormatting sqref="E119:G119 I119">
    <cfRule type="expression" dxfId="169" priority="67">
      <formula>IF($L119="I",TRUE,FALSE)</formula>
    </cfRule>
    <cfRule type="expression" dxfId="168" priority="68">
      <formula>IF($L119="T",TRUE,FALSE)</formula>
    </cfRule>
  </conditionalFormatting>
  <conditionalFormatting sqref="I121:I124">
    <cfRule type="expression" dxfId="167" priority="65">
      <formula>IF($L121="I",TRUE,FALSE)</formula>
    </cfRule>
    <cfRule type="expression" dxfId="166" priority="66">
      <formula>IF($L121="T",TRUE,FALSE)</formula>
    </cfRule>
  </conditionalFormatting>
  <conditionalFormatting sqref="B120:D120">
    <cfRule type="expression" dxfId="165" priority="61">
      <formula>IF($L120="I",TRUE,FALSE)</formula>
    </cfRule>
    <cfRule type="expression" dxfId="164" priority="62">
      <formula>IF($L120="T",TRUE,FALSE)</formula>
    </cfRule>
  </conditionalFormatting>
  <conditionalFormatting sqref="C120">
    <cfRule type="expression" dxfId="163" priority="60">
      <formula>IF($L120="I",TRUE,FALSE)</formula>
    </cfRule>
  </conditionalFormatting>
  <conditionalFormatting sqref="I120">
    <cfRule type="expression" dxfId="162" priority="58">
      <formula>IF($L120="I",TRUE,FALSE)</formula>
    </cfRule>
    <cfRule type="expression" dxfId="161" priority="59">
      <formula>IF($L120="T",TRUE,FALSE)</formula>
    </cfRule>
  </conditionalFormatting>
  <conditionalFormatting sqref="A126">
    <cfRule type="expression" dxfId="160" priority="56">
      <formula>IF($L126="I",TRUE,FALSE)</formula>
    </cfRule>
    <cfRule type="expression" dxfId="159" priority="57">
      <formula>IF($L126="T",TRUE,FALSE)</formula>
    </cfRule>
  </conditionalFormatting>
  <conditionalFormatting sqref="E126:G126 I126">
    <cfRule type="expression" dxfId="158" priority="54">
      <formula>IF($L126="I",TRUE,FALSE)</formula>
    </cfRule>
    <cfRule type="expression" dxfId="157" priority="55">
      <formula>IF($L126="T",TRUE,FALSE)</formula>
    </cfRule>
  </conditionalFormatting>
  <conditionalFormatting sqref="A125">
    <cfRule type="expression" dxfId="156" priority="52">
      <formula>IF($L125="I",TRUE,FALSE)</formula>
    </cfRule>
    <cfRule type="expression" dxfId="155" priority="53">
      <formula>IF($L125="T",TRUE,FALSE)</formula>
    </cfRule>
  </conditionalFormatting>
  <conditionalFormatting sqref="B125:D125">
    <cfRule type="expression" dxfId="154" priority="50">
      <formula>IF($L125="I",TRUE,FALSE)</formula>
    </cfRule>
    <cfRule type="expression" dxfId="153" priority="51">
      <formula>IF($L125="T",TRUE,FALSE)</formula>
    </cfRule>
  </conditionalFormatting>
  <conditionalFormatting sqref="C125">
    <cfRule type="expression" dxfId="152" priority="49">
      <formula>IF($L125="I",TRUE,FALSE)</formula>
    </cfRule>
  </conditionalFormatting>
  <conditionalFormatting sqref="I125">
    <cfRule type="expression" dxfId="151" priority="47">
      <formula>IF($L125="I",TRUE,FALSE)</formula>
    </cfRule>
    <cfRule type="expression" dxfId="150" priority="48">
      <formula>IF($L125="T",TRUE,FALSE)</formula>
    </cfRule>
  </conditionalFormatting>
  <conditionalFormatting sqref="B127:D127">
    <cfRule type="expression" dxfId="149" priority="45">
      <formula>IF($L127="I",TRUE,FALSE)</formula>
    </cfRule>
    <cfRule type="expression" dxfId="148" priority="46">
      <formula>IF($L127="T",TRUE,FALSE)</formula>
    </cfRule>
  </conditionalFormatting>
  <conditionalFormatting sqref="C127">
    <cfRule type="expression" dxfId="147" priority="44">
      <formula>IF($L127="I",TRUE,FALSE)</formula>
    </cfRule>
  </conditionalFormatting>
  <conditionalFormatting sqref="I127">
    <cfRule type="expression" dxfId="146" priority="42">
      <formula>IF($L127="I",TRUE,FALSE)</formula>
    </cfRule>
    <cfRule type="expression" dxfId="145" priority="43">
      <formula>IF($L127="T",TRUE,FALSE)</formula>
    </cfRule>
  </conditionalFormatting>
  <conditionalFormatting sqref="B128:D129">
    <cfRule type="expression" dxfId="144" priority="40">
      <formula>IF($L128="I",TRUE,FALSE)</formula>
    </cfRule>
    <cfRule type="expression" dxfId="143" priority="41">
      <formula>IF($L128="T",TRUE,FALSE)</formula>
    </cfRule>
  </conditionalFormatting>
  <conditionalFormatting sqref="C128:C129">
    <cfRule type="expression" dxfId="142" priority="39">
      <formula>IF($L128="I",TRUE,FALSE)</formula>
    </cfRule>
  </conditionalFormatting>
  <conditionalFormatting sqref="I128:I129">
    <cfRule type="expression" dxfId="141" priority="37">
      <formula>IF($L128="I",TRUE,FALSE)</formula>
    </cfRule>
    <cfRule type="expression" dxfId="140" priority="38">
      <formula>IF($L128="T",TRUE,FALSE)</formula>
    </cfRule>
  </conditionalFormatting>
  <conditionalFormatting sqref="I44:I47">
    <cfRule type="expression" dxfId="139" priority="31">
      <formula>IF($L44="I",TRUE,FALSE)</formula>
    </cfRule>
    <cfRule type="expression" dxfId="138" priority="32">
      <formula>IF($L44="T",TRUE,FALSE)</formula>
    </cfRule>
  </conditionalFormatting>
  <conditionalFormatting sqref="A101:A102">
    <cfRule type="expression" dxfId="137" priority="29">
      <formula>IF($L101="I",TRUE,FALSE)</formula>
    </cfRule>
    <cfRule type="expression" dxfId="136" priority="30">
      <formula>IF($L101="T",TRUE,FALSE)</formula>
    </cfRule>
  </conditionalFormatting>
  <conditionalFormatting sqref="B102:G102">
    <cfRule type="expression" dxfId="135" priority="27">
      <formula>IF($L102="I",TRUE,FALSE)</formula>
    </cfRule>
    <cfRule type="expression" dxfId="134" priority="28">
      <formula>IF($L102="T",TRUE,FALSE)</formula>
    </cfRule>
  </conditionalFormatting>
  <conditionalFormatting sqref="C102">
    <cfRule type="expression" dxfId="133" priority="26">
      <formula>IF($L102="I",TRUE,FALSE)</formula>
    </cfRule>
  </conditionalFormatting>
  <conditionalFormatting sqref="I102">
    <cfRule type="expression" dxfId="132" priority="24">
      <formula>IF($L102="I",TRUE,FALSE)</formula>
    </cfRule>
    <cfRule type="expression" dxfId="131" priority="25">
      <formula>IF($L102="T",TRUE,FALSE)</formula>
    </cfRule>
  </conditionalFormatting>
  <conditionalFormatting sqref="B101:G101 I101">
    <cfRule type="expression" dxfId="130" priority="22">
      <formula>IF($L101="I",TRUE,FALSE)</formula>
    </cfRule>
    <cfRule type="expression" dxfId="129" priority="23">
      <formula>IF($L101="T",TRUE,FALSE)</formula>
    </cfRule>
  </conditionalFormatting>
  <conditionalFormatting sqref="C101">
    <cfRule type="expression" dxfId="128" priority="21">
      <formula>IF($L101="I",TRUE,FALSE)</formula>
    </cfRule>
  </conditionalFormatting>
  <conditionalFormatting sqref="I24 A24">
    <cfRule type="expression" dxfId="127" priority="19">
      <formula>IF($L24="I",TRUE,FALSE)</formula>
    </cfRule>
    <cfRule type="expression" dxfId="126" priority="20">
      <formula>IF($L24="T",TRUE,FALSE)</formula>
    </cfRule>
  </conditionalFormatting>
  <conditionalFormatting sqref="E24:G24">
    <cfRule type="expression" dxfId="125" priority="17">
      <formula>IF($L24="I",TRUE,FALSE)</formula>
    </cfRule>
    <cfRule type="expression" dxfId="124" priority="18">
      <formula>IF($L24="T",TRUE,FALSE)</formula>
    </cfRule>
  </conditionalFormatting>
  <conditionalFormatting sqref="I62">
    <cfRule type="expression" dxfId="123" priority="15">
      <formula>IF($L62="I",TRUE,FALSE)</formula>
    </cfRule>
    <cfRule type="expression" dxfId="122" priority="16">
      <formula>IF($L62="T",TRUE,FALSE)</formula>
    </cfRule>
  </conditionalFormatting>
  <conditionalFormatting sqref="I25 E25:G25 A25">
    <cfRule type="expression" dxfId="121" priority="13">
      <formula>IF($L25="I",TRUE,FALSE)</formula>
    </cfRule>
    <cfRule type="expression" dxfId="120" priority="14">
      <formula>IF($L25="T",TRUE,FALSE)</formula>
    </cfRule>
  </conditionalFormatting>
  <conditionalFormatting sqref="E26:G26 A26">
    <cfRule type="expression" dxfId="119" priority="11">
      <formula>IF($L26="I",TRUE,FALSE)</formula>
    </cfRule>
    <cfRule type="expression" dxfId="118" priority="12">
      <formula>IF($L26="T",TRUE,FALSE)</formula>
    </cfRule>
  </conditionalFormatting>
  <conditionalFormatting sqref="I26">
    <cfRule type="expression" dxfId="117" priority="9">
      <formula>IF($L26="I",TRUE,FALSE)</formula>
    </cfRule>
    <cfRule type="expression" dxfId="116" priority="10">
      <formula>IF($L26="T",TRUE,FALSE)</formula>
    </cfRule>
  </conditionalFormatting>
  <conditionalFormatting sqref="E54:G54 A54:A55">
    <cfRule type="expression" dxfId="115" priority="7">
      <formula>IF($L54="I",TRUE,FALSE)</formula>
    </cfRule>
    <cfRule type="expression" dxfId="114" priority="8">
      <formula>IF($L54="T",TRUE,FALSE)</formula>
    </cfRule>
  </conditionalFormatting>
  <conditionalFormatting sqref="I54">
    <cfRule type="expression" dxfId="113" priority="5">
      <formula>IF($L54="I",TRUE,FALSE)</formula>
    </cfRule>
    <cfRule type="expression" dxfId="112" priority="6">
      <formula>IF($L54="T",TRUE,FALSE)</formula>
    </cfRule>
  </conditionalFormatting>
  <conditionalFormatting sqref="I55 E55:G55">
    <cfRule type="expression" dxfId="111" priority="3">
      <formula>IF($L55="I",TRUE,FALSE)</formula>
    </cfRule>
    <cfRule type="expression" dxfId="110" priority="4">
      <formula>IF($L55="T",TRUE,FALSE)</formula>
    </cfRule>
  </conditionalFormatting>
  <conditionalFormatting sqref="I27 E27:G27 A27">
    <cfRule type="expression" dxfId="109" priority="1">
      <formula>IF($L27="I",TRUE,FALSE)</formula>
    </cfRule>
    <cfRule type="expression" dxfId="108" priority="2">
      <formula>IF($L27="T",TRUE,FALSE)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6" fitToHeight="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8"/>
  <sheetViews>
    <sheetView tabSelected="1" zoomScale="110" zoomScaleNormal="110" workbookViewId="0">
      <selection activeCell="B118" sqref="B118"/>
    </sheetView>
  </sheetViews>
  <sheetFormatPr defaultRowHeight="15" x14ac:dyDescent="0.25"/>
  <cols>
    <col min="1" max="1" width="9.140625" style="32"/>
    <col min="2" max="2" width="55.7109375" style="2" customWidth="1"/>
    <col min="3" max="3" width="9.140625" style="2"/>
    <col min="4" max="4" width="13.28515625" style="87" customWidth="1"/>
    <col min="5" max="5" width="45.28515625" style="3" customWidth="1"/>
    <col min="7" max="7" width="12.28515625" bestFit="1" customWidth="1"/>
  </cols>
  <sheetData>
    <row r="2" spans="1:5" x14ac:dyDescent="0.25">
      <c r="A2" s="16" t="s">
        <v>2</v>
      </c>
      <c r="B2" s="30" t="s">
        <v>4</v>
      </c>
      <c r="C2" s="30" t="s">
        <v>5</v>
      </c>
      <c r="D2" s="85" t="s">
        <v>6</v>
      </c>
      <c r="E2" s="16" t="s">
        <v>226</v>
      </c>
    </row>
    <row r="3" spans="1:5" ht="15" customHeight="1" x14ac:dyDescent="0.25">
      <c r="A3" s="75" t="s">
        <v>99</v>
      </c>
      <c r="B3" s="36" t="s">
        <v>147</v>
      </c>
      <c r="C3" s="37"/>
      <c r="D3" s="38"/>
      <c r="E3" s="88"/>
    </row>
    <row r="4" spans="1:5" ht="38.25" x14ac:dyDescent="0.25">
      <c r="A4" s="46" t="s">
        <v>100</v>
      </c>
      <c r="B4" s="61" t="s">
        <v>132</v>
      </c>
      <c r="C4" s="42" t="s">
        <v>22</v>
      </c>
      <c r="D4" s="43">
        <f>155.2+46.44</f>
        <v>201.64</v>
      </c>
      <c r="E4" s="44" t="s">
        <v>227</v>
      </c>
    </row>
    <row r="5" spans="1:5" ht="25.5" x14ac:dyDescent="0.25">
      <c r="A5" s="42" t="s">
        <v>101</v>
      </c>
      <c r="B5" s="82" t="s">
        <v>137</v>
      </c>
      <c r="C5" s="42" t="s">
        <v>22</v>
      </c>
      <c r="D5" s="43">
        <v>44</v>
      </c>
      <c r="E5" s="44" t="s">
        <v>228</v>
      </c>
    </row>
    <row r="6" spans="1:5" ht="38.25" x14ac:dyDescent="0.25">
      <c r="A6" s="50" t="s">
        <v>102</v>
      </c>
      <c r="B6" s="61" t="s">
        <v>140</v>
      </c>
      <c r="C6" s="46" t="s">
        <v>23</v>
      </c>
      <c r="D6" s="47">
        <f>1*0.3*0.3*4</f>
        <v>0.36</v>
      </c>
      <c r="E6" s="48" t="s">
        <v>229</v>
      </c>
    </row>
    <row r="7" spans="1:5" ht="25.5" x14ac:dyDescent="0.25">
      <c r="A7" s="42" t="s">
        <v>103</v>
      </c>
      <c r="B7" s="61" t="s">
        <v>141</v>
      </c>
      <c r="C7" s="46" t="s">
        <v>11</v>
      </c>
      <c r="D7" s="47">
        <v>7.4</v>
      </c>
      <c r="E7" s="48" t="s">
        <v>230</v>
      </c>
    </row>
    <row r="8" spans="1:5" ht="38.25" x14ac:dyDescent="0.25">
      <c r="A8" s="76" t="s">
        <v>104</v>
      </c>
      <c r="B8" s="41" t="s">
        <v>134</v>
      </c>
      <c r="C8" s="46" t="s">
        <v>23</v>
      </c>
      <c r="D8" s="47">
        <f>(D4*0.05)+(D5*0.07)+(D6)+(D7*0.3*0.02)</f>
        <v>13.5664</v>
      </c>
      <c r="E8" s="48" t="s">
        <v>231</v>
      </c>
    </row>
    <row r="9" spans="1:5" ht="51" x14ac:dyDescent="0.25">
      <c r="A9" s="50" t="s">
        <v>105</v>
      </c>
      <c r="B9" s="61" t="s">
        <v>138</v>
      </c>
      <c r="C9" s="50" t="s">
        <v>22</v>
      </c>
      <c r="D9" s="51">
        <f>11.9+44</f>
        <v>55.9</v>
      </c>
      <c r="E9" s="52" t="s">
        <v>232</v>
      </c>
    </row>
    <row r="10" spans="1:5" ht="38.25" x14ac:dyDescent="0.25">
      <c r="A10" s="50" t="s">
        <v>106</v>
      </c>
      <c r="B10" s="61" t="s">
        <v>139</v>
      </c>
      <c r="C10" s="46" t="s">
        <v>12</v>
      </c>
      <c r="D10" s="47">
        <v>2</v>
      </c>
      <c r="E10" s="48" t="s">
        <v>233</v>
      </c>
    </row>
    <row r="11" spans="1:5" ht="25.5" x14ac:dyDescent="0.25">
      <c r="A11" s="50" t="s">
        <v>107</v>
      </c>
      <c r="B11" s="61" t="s">
        <v>136</v>
      </c>
      <c r="C11" s="46" t="s">
        <v>22</v>
      </c>
      <c r="D11" s="47">
        <f>D4</f>
        <v>201.64</v>
      </c>
      <c r="E11" s="48" t="s">
        <v>234</v>
      </c>
    </row>
    <row r="12" spans="1:5" ht="25.5" x14ac:dyDescent="0.25">
      <c r="A12" s="50" t="s">
        <v>108</v>
      </c>
      <c r="B12" s="61" t="s">
        <v>304</v>
      </c>
      <c r="C12" s="46" t="s">
        <v>11</v>
      </c>
      <c r="D12" s="47">
        <f>19.6+5.2</f>
        <v>24.8</v>
      </c>
      <c r="E12" s="48" t="s">
        <v>306</v>
      </c>
    </row>
    <row r="13" spans="1:5" ht="38.25" x14ac:dyDescent="0.25">
      <c r="A13" s="97"/>
      <c r="B13" s="61" t="s">
        <v>145</v>
      </c>
      <c r="C13" s="46" t="s">
        <v>11</v>
      </c>
      <c r="D13" s="47">
        <v>21.4</v>
      </c>
      <c r="E13" s="48" t="s">
        <v>324</v>
      </c>
    </row>
    <row r="14" spans="1:5" ht="38.25" x14ac:dyDescent="0.25">
      <c r="A14" s="97"/>
      <c r="B14" s="61" t="s">
        <v>168</v>
      </c>
      <c r="C14" s="46" t="s">
        <v>11</v>
      </c>
      <c r="D14" s="47">
        <f>5*5</f>
        <v>25</v>
      </c>
      <c r="E14" s="48" t="s">
        <v>325</v>
      </c>
    </row>
    <row r="15" spans="1:5" ht="25.5" x14ac:dyDescent="0.25">
      <c r="A15" s="97"/>
      <c r="B15" s="64" t="s">
        <v>144</v>
      </c>
      <c r="C15" s="42" t="s">
        <v>11</v>
      </c>
      <c r="D15" s="117">
        <v>7</v>
      </c>
      <c r="E15" s="48" t="s">
        <v>341</v>
      </c>
    </row>
    <row r="16" spans="1:5" x14ac:dyDescent="0.25">
      <c r="A16" s="75" t="s">
        <v>72</v>
      </c>
      <c r="B16" s="36" t="s">
        <v>148</v>
      </c>
      <c r="C16" s="37"/>
      <c r="D16" s="38"/>
      <c r="E16" s="88"/>
    </row>
    <row r="17" spans="1:5" ht="38.25" x14ac:dyDescent="0.25">
      <c r="A17" s="50" t="s">
        <v>15</v>
      </c>
      <c r="B17" s="61" t="s">
        <v>142</v>
      </c>
      <c r="C17" s="59" t="s">
        <v>23</v>
      </c>
      <c r="D17" s="86">
        <f>(7.05)*(1.33/2)*0.25</f>
        <v>1.1720625</v>
      </c>
      <c r="E17" s="84" t="s">
        <v>235</v>
      </c>
    </row>
    <row r="18" spans="1:5" ht="25.5" x14ac:dyDescent="0.25">
      <c r="A18" s="50" t="s">
        <v>16</v>
      </c>
      <c r="B18" s="61" t="s">
        <v>132</v>
      </c>
      <c r="C18" s="42" t="s">
        <v>22</v>
      </c>
      <c r="D18" s="43">
        <f>(1.27*1.65)+(7.1*2.61)</f>
        <v>20.6265</v>
      </c>
      <c r="E18" s="44" t="s">
        <v>236</v>
      </c>
    </row>
    <row r="19" spans="1:5" ht="25.5" x14ac:dyDescent="0.25">
      <c r="A19" s="50" t="s">
        <v>17</v>
      </c>
      <c r="B19" s="82" t="s">
        <v>137</v>
      </c>
      <c r="C19" s="42" t="s">
        <v>22</v>
      </c>
      <c r="D19" s="43">
        <v>20</v>
      </c>
      <c r="E19" s="44" t="s">
        <v>237</v>
      </c>
    </row>
    <row r="20" spans="1:5" ht="38.25" x14ac:dyDescent="0.25">
      <c r="A20" s="50" t="s">
        <v>18</v>
      </c>
      <c r="B20" s="41" t="s">
        <v>134</v>
      </c>
      <c r="C20" s="46" t="s">
        <v>23</v>
      </c>
      <c r="D20" s="47">
        <f>D17+(D18*0.05)+(D19*0.07)</f>
        <v>3.6033875000000002</v>
      </c>
      <c r="E20" s="48" t="s">
        <v>231</v>
      </c>
    </row>
    <row r="21" spans="1:5" ht="38.25" x14ac:dyDescent="0.25">
      <c r="A21" s="50" t="s">
        <v>19</v>
      </c>
      <c r="B21" s="41" t="s">
        <v>146</v>
      </c>
      <c r="C21" s="46" t="s">
        <v>22</v>
      </c>
      <c r="D21" s="47">
        <f>7.1*0.6</f>
        <v>4.26</v>
      </c>
      <c r="E21" s="48" t="s">
        <v>238</v>
      </c>
    </row>
    <row r="22" spans="1:5" ht="25.5" x14ac:dyDescent="0.25">
      <c r="A22" s="50" t="s">
        <v>20</v>
      </c>
      <c r="B22" s="41" t="s">
        <v>56</v>
      </c>
      <c r="C22" s="46" t="s">
        <v>23</v>
      </c>
      <c r="D22" s="47">
        <f>(7.1*0.15*0.02)+(0.6*0.15*0.2*4)</f>
        <v>9.3299999999999994E-2</v>
      </c>
      <c r="E22" s="48" t="s">
        <v>239</v>
      </c>
    </row>
    <row r="23" spans="1:5" ht="38.25" x14ac:dyDescent="0.25">
      <c r="A23" s="50" t="s">
        <v>21</v>
      </c>
      <c r="B23" s="41" t="s">
        <v>149</v>
      </c>
      <c r="C23" s="46" t="s">
        <v>22</v>
      </c>
      <c r="D23" s="47">
        <f>7.1*0.6*2</f>
        <v>8.52</v>
      </c>
      <c r="E23" s="48" t="s">
        <v>240</v>
      </c>
    </row>
    <row r="24" spans="1:5" ht="51" x14ac:dyDescent="0.25">
      <c r="A24" s="50" t="s">
        <v>88</v>
      </c>
      <c r="B24" s="41" t="s">
        <v>150</v>
      </c>
      <c r="C24" s="46" t="s">
        <v>22</v>
      </c>
      <c r="D24" s="47">
        <f>D23</f>
        <v>8.52</v>
      </c>
      <c r="E24" s="48" t="s">
        <v>241</v>
      </c>
    </row>
    <row r="25" spans="1:5" ht="51" x14ac:dyDescent="0.25">
      <c r="A25" s="50" t="s">
        <v>151</v>
      </c>
      <c r="B25" s="61" t="s">
        <v>138</v>
      </c>
      <c r="C25" s="50" t="s">
        <v>22</v>
      </c>
      <c r="D25" s="51">
        <v>47.55</v>
      </c>
      <c r="E25" s="52" t="s">
        <v>242</v>
      </c>
    </row>
    <row r="26" spans="1:5" ht="38.25" x14ac:dyDescent="0.25">
      <c r="A26" s="50" t="s">
        <v>152</v>
      </c>
      <c r="B26" s="61" t="s">
        <v>143</v>
      </c>
      <c r="C26" s="46" t="s">
        <v>12</v>
      </c>
      <c r="D26" s="47">
        <v>5</v>
      </c>
      <c r="E26" s="48" t="s">
        <v>243</v>
      </c>
    </row>
    <row r="27" spans="1:5" ht="25.5" x14ac:dyDescent="0.25">
      <c r="A27" s="76" t="s">
        <v>153</v>
      </c>
      <c r="B27" s="61" t="s">
        <v>136</v>
      </c>
      <c r="C27" s="46" t="s">
        <v>22</v>
      </c>
      <c r="D27" s="47">
        <f>3.45*13.95</f>
        <v>48.127499999999998</v>
      </c>
      <c r="E27" s="48" t="s">
        <v>244</v>
      </c>
    </row>
    <row r="28" spans="1:5" ht="25.5" x14ac:dyDescent="0.25">
      <c r="A28" s="50" t="s">
        <v>154</v>
      </c>
      <c r="B28" s="82" t="s">
        <v>144</v>
      </c>
      <c r="C28" s="42" t="s">
        <v>11</v>
      </c>
      <c r="D28" s="43">
        <v>13.95</v>
      </c>
      <c r="E28" s="44" t="s">
        <v>245</v>
      </c>
    </row>
    <row r="29" spans="1:5" ht="21" customHeight="1" x14ac:dyDescent="0.25">
      <c r="A29" s="77" t="s">
        <v>24</v>
      </c>
      <c r="B29" s="67" t="s">
        <v>155</v>
      </c>
      <c r="C29" s="54"/>
      <c r="D29" s="55"/>
      <c r="E29" s="83"/>
    </row>
    <row r="30" spans="1:5" ht="25.5" x14ac:dyDescent="0.25">
      <c r="A30" s="50" t="s">
        <v>25</v>
      </c>
      <c r="B30" s="61" t="s">
        <v>142</v>
      </c>
      <c r="C30" s="59" t="s">
        <v>23</v>
      </c>
      <c r="D30" s="86">
        <f>17.9*0.7*0.25</f>
        <v>3.1324999999999994</v>
      </c>
      <c r="E30" s="84" t="s">
        <v>246</v>
      </c>
    </row>
    <row r="31" spans="1:5" ht="25.5" x14ac:dyDescent="0.25">
      <c r="A31" s="50" t="s">
        <v>27</v>
      </c>
      <c r="B31" s="61" t="s">
        <v>132</v>
      </c>
      <c r="C31" s="42" t="s">
        <v>22</v>
      </c>
      <c r="D31" s="43">
        <f>4.74*17.9</f>
        <v>84.846000000000004</v>
      </c>
      <c r="E31" s="44" t="s">
        <v>247</v>
      </c>
    </row>
    <row r="32" spans="1:5" ht="25.5" x14ac:dyDescent="0.25">
      <c r="A32" s="76" t="s">
        <v>90</v>
      </c>
      <c r="B32" s="82" t="s">
        <v>137</v>
      </c>
      <c r="C32" s="42" t="s">
        <v>22</v>
      </c>
      <c r="D32" s="43">
        <f>4.65*17.9</f>
        <v>83.234999999999999</v>
      </c>
      <c r="E32" s="44" t="s">
        <v>248</v>
      </c>
    </row>
    <row r="33" spans="1:5" ht="25.5" x14ac:dyDescent="0.25">
      <c r="A33" s="50" t="s">
        <v>160</v>
      </c>
      <c r="B33" s="61" t="s">
        <v>157</v>
      </c>
      <c r="C33" s="46" t="s">
        <v>22</v>
      </c>
      <c r="D33" s="47">
        <f>7.77+10.08+12.48+9.78+10.15+23.79+4.33+10.36+3.61+1.65</f>
        <v>94</v>
      </c>
      <c r="E33" s="48" t="s">
        <v>249</v>
      </c>
    </row>
    <row r="34" spans="1:5" ht="25.5" x14ac:dyDescent="0.25">
      <c r="A34" s="50" t="s">
        <v>161</v>
      </c>
      <c r="B34" s="61" t="s">
        <v>158</v>
      </c>
      <c r="C34" s="46" t="s">
        <v>22</v>
      </c>
      <c r="D34" s="47">
        <f>7.77+10.08+12.48+9.78+10.15+23.79+4.33+10.36+3.61+1.65</f>
        <v>94</v>
      </c>
      <c r="E34" s="48" t="s">
        <v>249</v>
      </c>
    </row>
    <row r="35" spans="1:5" ht="25.5" x14ac:dyDescent="0.25">
      <c r="A35" s="50" t="s">
        <v>162</v>
      </c>
      <c r="B35" s="61" t="s">
        <v>159</v>
      </c>
      <c r="C35" s="46" t="s">
        <v>12</v>
      </c>
      <c r="D35" s="47">
        <v>14</v>
      </c>
      <c r="E35" s="48" t="s">
        <v>250</v>
      </c>
    </row>
    <row r="36" spans="1:5" ht="38.25" x14ac:dyDescent="0.25">
      <c r="A36" s="50" t="s">
        <v>163</v>
      </c>
      <c r="B36" s="41" t="s">
        <v>134</v>
      </c>
      <c r="C36" s="46" t="s">
        <v>23</v>
      </c>
      <c r="D36" s="47">
        <f>D30+(D31*0.05)+(D32*0.07)+(D33*0.05)+(D34*0.03)</f>
        <v>20.721250000000001</v>
      </c>
      <c r="E36" s="48" t="s">
        <v>253</v>
      </c>
    </row>
    <row r="37" spans="1:5" ht="51" x14ac:dyDescent="0.25">
      <c r="A37" s="50" t="s">
        <v>164</v>
      </c>
      <c r="B37" s="61" t="s">
        <v>138</v>
      </c>
      <c r="C37" s="50" t="s">
        <v>22</v>
      </c>
      <c r="D37" s="51">
        <v>98.45</v>
      </c>
      <c r="E37" s="52" t="s">
        <v>237</v>
      </c>
    </row>
    <row r="38" spans="1:5" ht="38.25" x14ac:dyDescent="0.25">
      <c r="A38" s="50" t="s">
        <v>165</v>
      </c>
      <c r="B38" s="61" t="s">
        <v>156</v>
      </c>
      <c r="C38" s="46" t="s">
        <v>12</v>
      </c>
      <c r="D38" s="47">
        <v>5</v>
      </c>
      <c r="E38" s="48" t="s">
        <v>251</v>
      </c>
    </row>
    <row r="39" spans="1:5" ht="25.5" x14ac:dyDescent="0.25">
      <c r="A39" s="50" t="s">
        <v>166</v>
      </c>
      <c r="B39" s="61" t="s">
        <v>136</v>
      </c>
      <c r="C39" s="46" t="s">
        <v>22</v>
      </c>
      <c r="D39" s="47">
        <f>5.45*17.9</f>
        <v>97.554999999999993</v>
      </c>
      <c r="E39" s="48" t="s">
        <v>252</v>
      </c>
    </row>
    <row r="40" spans="1:5" ht="25.5" x14ac:dyDescent="0.25">
      <c r="A40" s="50" t="s">
        <v>167</v>
      </c>
      <c r="B40" s="82" t="s">
        <v>144</v>
      </c>
      <c r="C40" s="42" t="s">
        <v>11</v>
      </c>
      <c r="D40" s="43">
        <v>27.5</v>
      </c>
      <c r="E40" s="44" t="s">
        <v>237</v>
      </c>
    </row>
    <row r="41" spans="1:5" ht="19.5" customHeight="1" x14ac:dyDescent="0.25">
      <c r="A41" s="77" t="s">
        <v>28</v>
      </c>
      <c r="B41" s="67" t="s">
        <v>169</v>
      </c>
      <c r="C41" s="54"/>
      <c r="D41" s="55"/>
      <c r="E41" s="83"/>
    </row>
    <row r="42" spans="1:5" ht="28.5" customHeight="1" x14ac:dyDescent="0.25">
      <c r="A42" s="50" t="s">
        <v>29</v>
      </c>
      <c r="B42" s="61" t="s">
        <v>331</v>
      </c>
      <c r="C42" s="50" t="s">
        <v>22</v>
      </c>
      <c r="D42" s="51">
        <f>9.5*2</f>
        <v>19</v>
      </c>
      <c r="E42" s="52" t="s">
        <v>335</v>
      </c>
    </row>
    <row r="43" spans="1:5" ht="28.5" customHeight="1" x14ac:dyDescent="0.25">
      <c r="A43" s="50" t="s">
        <v>30</v>
      </c>
      <c r="B43" s="61" t="s">
        <v>332</v>
      </c>
      <c r="C43" s="50" t="s">
        <v>22</v>
      </c>
      <c r="D43" s="51">
        <f>9.5*2</f>
        <v>19</v>
      </c>
      <c r="E43" s="52" t="s">
        <v>336</v>
      </c>
    </row>
    <row r="44" spans="1:5" ht="38.25" x14ac:dyDescent="0.25">
      <c r="A44" s="50" t="s">
        <v>98</v>
      </c>
      <c r="B44" s="61" t="s">
        <v>180</v>
      </c>
      <c r="C44" s="42" t="s">
        <v>23</v>
      </c>
      <c r="D44" s="43">
        <f>23.3*0.2*0.3</f>
        <v>1.3979999999999999</v>
      </c>
      <c r="E44" s="44" t="s">
        <v>254</v>
      </c>
    </row>
    <row r="45" spans="1:5" ht="25.5" x14ac:dyDescent="0.25">
      <c r="A45" s="50" t="s">
        <v>111</v>
      </c>
      <c r="B45" s="61" t="s">
        <v>182</v>
      </c>
      <c r="C45" s="42" t="s">
        <v>14</v>
      </c>
      <c r="D45" s="43">
        <f>D46*100</f>
        <v>139.79999999999998</v>
      </c>
      <c r="E45" s="44" t="s">
        <v>121</v>
      </c>
    </row>
    <row r="46" spans="1:5" ht="38.25" x14ac:dyDescent="0.25">
      <c r="A46" s="50" t="s">
        <v>112</v>
      </c>
      <c r="B46" s="61" t="s">
        <v>183</v>
      </c>
      <c r="C46" s="42" t="s">
        <v>23</v>
      </c>
      <c r="D46" s="43">
        <f>23.3*0.2*0.3</f>
        <v>1.3979999999999999</v>
      </c>
      <c r="E46" s="44" t="s">
        <v>254</v>
      </c>
    </row>
    <row r="47" spans="1:5" ht="38.25" x14ac:dyDescent="0.25">
      <c r="A47" s="50" t="s">
        <v>113</v>
      </c>
      <c r="B47" s="61" t="s">
        <v>184</v>
      </c>
      <c r="C47" s="42" t="s">
        <v>22</v>
      </c>
      <c r="D47" s="43">
        <f>23.3*0.3*2</f>
        <v>13.98</v>
      </c>
      <c r="E47" s="44" t="s">
        <v>255</v>
      </c>
    </row>
    <row r="48" spans="1:5" ht="38.25" x14ac:dyDescent="0.25">
      <c r="A48" s="50" t="s">
        <v>114</v>
      </c>
      <c r="B48" s="61" t="s">
        <v>181</v>
      </c>
      <c r="C48" s="42" t="s">
        <v>11</v>
      </c>
      <c r="D48" s="43">
        <v>7</v>
      </c>
      <c r="E48" s="44" t="s">
        <v>256</v>
      </c>
    </row>
    <row r="49" spans="1:5" ht="25.5" x14ac:dyDescent="0.25">
      <c r="A49" s="50" t="s">
        <v>115</v>
      </c>
      <c r="B49" s="61" t="s">
        <v>170</v>
      </c>
      <c r="C49" s="42" t="s">
        <v>22</v>
      </c>
      <c r="D49" s="43">
        <f>(23.3 - (9.5+1.5))*2</f>
        <v>24.6</v>
      </c>
      <c r="E49" s="44" t="s">
        <v>333</v>
      </c>
    </row>
    <row r="50" spans="1:5" ht="25.5" x14ac:dyDescent="0.25">
      <c r="A50" s="50" t="s">
        <v>116</v>
      </c>
      <c r="B50" s="61" t="s">
        <v>322</v>
      </c>
      <c r="C50" s="42" t="s">
        <v>22</v>
      </c>
      <c r="D50" s="43">
        <f>(1.5*2.2)</f>
        <v>3.3000000000000003</v>
      </c>
      <c r="E50" s="44" t="s">
        <v>334</v>
      </c>
    </row>
    <row r="51" spans="1:5" x14ac:dyDescent="0.25">
      <c r="A51" s="77" t="s">
        <v>31</v>
      </c>
      <c r="B51" s="67" t="s">
        <v>172</v>
      </c>
      <c r="C51" s="54"/>
      <c r="D51" s="55"/>
      <c r="E51" s="83"/>
    </row>
    <row r="52" spans="1:5" ht="25.5" x14ac:dyDescent="0.25">
      <c r="A52" s="50" t="s">
        <v>33</v>
      </c>
      <c r="B52" s="61" t="s">
        <v>173</v>
      </c>
      <c r="C52" s="42" t="s">
        <v>23</v>
      </c>
      <c r="D52" s="43">
        <f>8.35*0.07</f>
        <v>0.58450000000000002</v>
      </c>
      <c r="E52" s="44" t="s">
        <v>257</v>
      </c>
    </row>
    <row r="53" spans="1:5" ht="38.25" x14ac:dyDescent="0.25">
      <c r="A53" s="50" t="s">
        <v>34</v>
      </c>
      <c r="B53" s="41" t="s">
        <v>134</v>
      </c>
      <c r="C53" s="46" t="s">
        <v>23</v>
      </c>
      <c r="D53" s="47">
        <f>D52</f>
        <v>0.58450000000000002</v>
      </c>
      <c r="E53" s="48" t="s">
        <v>258</v>
      </c>
    </row>
    <row r="54" spans="1:5" ht="38.25" x14ac:dyDescent="0.25">
      <c r="A54" s="50" t="s">
        <v>117</v>
      </c>
      <c r="B54" s="41" t="s">
        <v>185</v>
      </c>
      <c r="C54" s="46" t="s">
        <v>23</v>
      </c>
      <c r="D54" s="47">
        <f>(28.28+8.35)*0.07</f>
        <v>2.5641000000000003</v>
      </c>
      <c r="E54" s="48" t="s">
        <v>342</v>
      </c>
    </row>
    <row r="55" spans="1:5" x14ac:dyDescent="0.25">
      <c r="A55" s="77" t="s">
        <v>35</v>
      </c>
      <c r="B55" s="67" t="s">
        <v>174</v>
      </c>
      <c r="C55" s="54"/>
      <c r="D55" s="55"/>
      <c r="E55" s="83"/>
    </row>
    <row r="56" spans="1:5" ht="25.5" x14ac:dyDescent="0.25">
      <c r="A56" s="50" t="s">
        <v>36</v>
      </c>
      <c r="B56" s="41" t="s">
        <v>176</v>
      </c>
      <c r="C56" s="46" t="s">
        <v>23</v>
      </c>
      <c r="D56" s="47">
        <f>31*0.2*0.7</f>
        <v>4.34</v>
      </c>
      <c r="E56" s="48" t="s">
        <v>259</v>
      </c>
    </row>
    <row r="57" spans="1:5" ht="25.5" x14ac:dyDescent="0.25">
      <c r="A57" s="50" t="s">
        <v>37</v>
      </c>
      <c r="B57" s="41" t="s">
        <v>175</v>
      </c>
      <c r="C57" s="46" t="s">
        <v>11</v>
      </c>
      <c r="D57" s="47">
        <v>31</v>
      </c>
      <c r="E57" s="48" t="s">
        <v>261</v>
      </c>
    </row>
    <row r="58" spans="1:5" ht="38.25" x14ac:dyDescent="0.25">
      <c r="A58" s="50" t="s">
        <v>38</v>
      </c>
      <c r="B58" s="41" t="s">
        <v>177</v>
      </c>
      <c r="C58" s="46" t="s">
        <v>12</v>
      </c>
      <c r="D58" s="47">
        <v>3</v>
      </c>
      <c r="E58" s="48" t="s">
        <v>260</v>
      </c>
    </row>
    <row r="59" spans="1:5" x14ac:dyDescent="0.25">
      <c r="A59" s="77" t="s">
        <v>39</v>
      </c>
      <c r="B59" s="67" t="s">
        <v>178</v>
      </c>
      <c r="C59" s="54"/>
      <c r="D59" s="55"/>
      <c r="E59" s="83"/>
    </row>
    <row r="60" spans="1:5" ht="42" customHeight="1" x14ac:dyDescent="0.25">
      <c r="A60" s="50" t="s">
        <v>40</v>
      </c>
      <c r="B60" s="41" t="s">
        <v>179</v>
      </c>
      <c r="C60" s="46" t="s">
        <v>11</v>
      </c>
      <c r="D60" s="47">
        <f>8*3</f>
        <v>24</v>
      </c>
      <c r="E60" s="48" t="s">
        <v>262</v>
      </c>
    </row>
    <row r="61" spans="1:5" ht="25.5" x14ac:dyDescent="0.25">
      <c r="A61" s="50" t="s">
        <v>73</v>
      </c>
      <c r="B61" s="41" t="s">
        <v>186</v>
      </c>
      <c r="C61" s="46" t="s">
        <v>11</v>
      </c>
      <c r="D61" s="47">
        <f>8*5</f>
        <v>40</v>
      </c>
      <c r="E61" s="48" t="s">
        <v>263</v>
      </c>
    </row>
    <row r="62" spans="1:5" ht="51" x14ac:dyDescent="0.25">
      <c r="A62" s="50" t="s">
        <v>74</v>
      </c>
      <c r="B62" s="41" t="s">
        <v>150</v>
      </c>
      <c r="C62" s="46" t="s">
        <v>22</v>
      </c>
      <c r="D62" s="47">
        <f>8*3*0.15</f>
        <v>3.5999999999999996</v>
      </c>
      <c r="E62" s="48" t="s">
        <v>264</v>
      </c>
    </row>
    <row r="63" spans="1:5" ht="25.5" x14ac:dyDescent="0.25">
      <c r="A63" s="50" t="s">
        <v>75</v>
      </c>
      <c r="B63" s="41" t="s">
        <v>187</v>
      </c>
      <c r="C63" s="46" t="s">
        <v>22</v>
      </c>
      <c r="D63" s="47">
        <f>52.56+(18.2*2)</f>
        <v>88.960000000000008</v>
      </c>
      <c r="E63" s="48" t="s">
        <v>265</v>
      </c>
    </row>
    <row r="64" spans="1:5" ht="38.25" x14ac:dyDescent="0.25">
      <c r="A64" s="78" t="s">
        <v>76</v>
      </c>
      <c r="B64" s="41" t="s">
        <v>134</v>
      </c>
      <c r="C64" s="46" t="s">
        <v>23</v>
      </c>
      <c r="D64" s="47">
        <f>(D60*0.15*0.05)+(D63*0.05)</f>
        <v>4.6280000000000001</v>
      </c>
      <c r="E64" s="48"/>
    </row>
    <row r="65" spans="1:5" ht="25.5" x14ac:dyDescent="0.25">
      <c r="A65" s="78" t="s">
        <v>77</v>
      </c>
      <c r="B65" s="41" t="s">
        <v>204</v>
      </c>
      <c r="C65" s="46" t="s">
        <v>22</v>
      </c>
      <c r="D65" s="47">
        <f>52.56+(18.2*2)</f>
        <v>88.960000000000008</v>
      </c>
      <c r="E65" s="48" t="s">
        <v>265</v>
      </c>
    </row>
    <row r="66" spans="1:5" ht="38.25" x14ac:dyDescent="0.25">
      <c r="A66" s="78" t="s">
        <v>122</v>
      </c>
      <c r="B66" s="41" t="s">
        <v>149</v>
      </c>
      <c r="C66" s="46" t="s">
        <v>22</v>
      </c>
      <c r="D66" s="47">
        <f t="shared" ref="D66:D67" si="0">52.56+(18.2*2)</f>
        <v>88.960000000000008</v>
      </c>
      <c r="E66" s="48" t="s">
        <v>265</v>
      </c>
    </row>
    <row r="67" spans="1:5" ht="51" x14ac:dyDescent="0.25">
      <c r="A67" s="78" t="s">
        <v>91</v>
      </c>
      <c r="B67" s="41" t="s">
        <v>150</v>
      </c>
      <c r="C67" s="46" t="s">
        <v>22</v>
      </c>
      <c r="D67" s="47">
        <f t="shared" si="0"/>
        <v>88.960000000000008</v>
      </c>
      <c r="E67" s="48" t="s">
        <v>265</v>
      </c>
    </row>
    <row r="68" spans="1:5" x14ac:dyDescent="0.25">
      <c r="A68" s="77" t="s">
        <v>41</v>
      </c>
      <c r="B68" s="67" t="s">
        <v>188</v>
      </c>
      <c r="C68" s="54"/>
      <c r="D68" s="55"/>
      <c r="E68" s="83"/>
    </row>
    <row r="69" spans="1:5" ht="25.5" x14ac:dyDescent="0.25">
      <c r="A69" s="50" t="s">
        <v>42</v>
      </c>
      <c r="B69" s="61" t="s">
        <v>142</v>
      </c>
      <c r="C69" s="59" t="s">
        <v>23</v>
      </c>
      <c r="D69" s="51">
        <f>0.2*0.2*3</f>
        <v>0.12000000000000002</v>
      </c>
      <c r="E69" s="84" t="s">
        <v>268</v>
      </c>
    </row>
    <row r="70" spans="1:5" ht="38.25" x14ac:dyDescent="0.25">
      <c r="A70" s="50" t="s">
        <v>43</v>
      </c>
      <c r="B70" s="41" t="s">
        <v>134</v>
      </c>
      <c r="C70" s="46" t="s">
        <v>23</v>
      </c>
      <c r="D70" s="47">
        <f>D69</f>
        <v>0.12000000000000002</v>
      </c>
      <c r="E70" s="48"/>
    </row>
    <row r="71" spans="1:5" ht="25.5" x14ac:dyDescent="0.25">
      <c r="A71" s="50" t="s">
        <v>44</v>
      </c>
      <c r="B71" s="41" t="s">
        <v>189</v>
      </c>
      <c r="C71" s="46" t="s">
        <v>22</v>
      </c>
      <c r="D71" s="47">
        <f>1.6*3</f>
        <v>4.8000000000000007</v>
      </c>
      <c r="E71" s="48" t="s">
        <v>266</v>
      </c>
    </row>
    <row r="72" spans="1:5" ht="25.5" x14ac:dyDescent="0.25">
      <c r="A72" s="50" t="s">
        <v>45</v>
      </c>
      <c r="B72" s="61" t="s">
        <v>190</v>
      </c>
      <c r="C72" s="42" t="s">
        <v>14</v>
      </c>
      <c r="D72" s="43">
        <f>D73*100</f>
        <v>12.000000000000002</v>
      </c>
      <c r="E72" s="44" t="s">
        <v>121</v>
      </c>
    </row>
    <row r="73" spans="1:5" ht="38.25" x14ac:dyDescent="0.25">
      <c r="A73" s="50" t="s">
        <v>92</v>
      </c>
      <c r="B73" s="61" t="s">
        <v>183</v>
      </c>
      <c r="C73" s="42" t="s">
        <v>23</v>
      </c>
      <c r="D73" s="43">
        <f>0.2*0.2*3</f>
        <v>0.12000000000000002</v>
      </c>
      <c r="E73" s="44" t="s">
        <v>267</v>
      </c>
    </row>
    <row r="74" spans="1:5" ht="38.25" x14ac:dyDescent="0.25">
      <c r="A74" s="50" t="s">
        <v>118</v>
      </c>
      <c r="B74" s="41" t="s">
        <v>149</v>
      </c>
      <c r="C74" s="46" t="s">
        <v>22</v>
      </c>
      <c r="D74" s="47">
        <f>0.2*3*2</f>
        <v>1.2000000000000002</v>
      </c>
      <c r="E74" s="48"/>
    </row>
    <row r="75" spans="1:5" ht="51" x14ac:dyDescent="0.25">
      <c r="A75" s="50" t="s">
        <v>195</v>
      </c>
      <c r="B75" s="41" t="s">
        <v>150</v>
      </c>
      <c r="C75" s="46" t="s">
        <v>22</v>
      </c>
      <c r="D75" s="47">
        <f>0.2*3*2</f>
        <v>1.2000000000000002</v>
      </c>
      <c r="E75" s="48"/>
    </row>
    <row r="76" spans="1:5" x14ac:dyDescent="0.25">
      <c r="A76" s="77" t="s">
        <v>46</v>
      </c>
      <c r="B76" s="67" t="s">
        <v>191</v>
      </c>
      <c r="C76" s="54"/>
      <c r="D76" s="55"/>
      <c r="E76" s="83"/>
    </row>
    <row r="77" spans="1:5" ht="25.5" x14ac:dyDescent="0.25">
      <c r="A77" s="50" t="s">
        <v>47</v>
      </c>
      <c r="B77" s="41" t="s">
        <v>192</v>
      </c>
      <c r="C77" s="46" t="s">
        <v>22</v>
      </c>
      <c r="D77" s="47">
        <f>1.1*0.9</f>
        <v>0.9900000000000001</v>
      </c>
      <c r="E77" s="48" t="s">
        <v>269</v>
      </c>
    </row>
    <row r="78" spans="1:5" ht="38.25" x14ac:dyDescent="0.25">
      <c r="A78" s="50" t="s">
        <v>48</v>
      </c>
      <c r="B78" s="41" t="s">
        <v>149</v>
      </c>
      <c r="C78" s="46" t="s">
        <v>22</v>
      </c>
      <c r="D78" s="47">
        <f t="shared" ref="D78:D80" si="1">1.1*0.9</f>
        <v>0.9900000000000001</v>
      </c>
      <c r="E78" s="48" t="s">
        <v>270</v>
      </c>
    </row>
    <row r="79" spans="1:5" ht="63.75" x14ac:dyDescent="0.25">
      <c r="A79" s="50" t="s">
        <v>49</v>
      </c>
      <c r="B79" s="41" t="s">
        <v>193</v>
      </c>
      <c r="C79" s="46" t="s">
        <v>22</v>
      </c>
      <c r="D79" s="47">
        <f t="shared" si="1"/>
        <v>0.9900000000000001</v>
      </c>
      <c r="E79" s="48" t="s">
        <v>270</v>
      </c>
    </row>
    <row r="80" spans="1:5" ht="38.25" x14ac:dyDescent="0.25">
      <c r="A80" s="79" t="s">
        <v>78</v>
      </c>
      <c r="B80" s="70" t="s">
        <v>194</v>
      </c>
      <c r="C80" s="69" t="s">
        <v>22</v>
      </c>
      <c r="D80" s="47">
        <f t="shared" si="1"/>
        <v>0.9900000000000001</v>
      </c>
      <c r="E80" s="48" t="s">
        <v>270</v>
      </c>
    </row>
    <row r="81" spans="1:5" x14ac:dyDescent="0.25">
      <c r="A81" s="77" t="s">
        <v>51</v>
      </c>
      <c r="B81" s="67" t="s">
        <v>196</v>
      </c>
      <c r="C81" s="54"/>
      <c r="D81" s="55"/>
      <c r="E81" s="83"/>
    </row>
    <row r="82" spans="1:5" ht="25.5" x14ac:dyDescent="0.25">
      <c r="A82" s="79" t="s">
        <v>52</v>
      </c>
      <c r="B82" s="70" t="s">
        <v>197</v>
      </c>
      <c r="C82" s="69" t="s">
        <v>12</v>
      </c>
      <c r="D82" s="51">
        <v>16</v>
      </c>
      <c r="E82" s="89" t="s">
        <v>271</v>
      </c>
    </row>
    <row r="83" spans="1:5" ht="25.5" x14ac:dyDescent="0.25">
      <c r="A83" s="79" t="s">
        <v>53</v>
      </c>
      <c r="B83" s="70" t="s">
        <v>198</v>
      </c>
      <c r="C83" s="69" t="s">
        <v>11</v>
      </c>
      <c r="D83" s="51">
        <v>5</v>
      </c>
      <c r="E83" s="89" t="s">
        <v>272</v>
      </c>
    </row>
    <row r="84" spans="1:5" ht="25.5" x14ac:dyDescent="0.25">
      <c r="A84" s="79" t="s">
        <v>54</v>
      </c>
      <c r="B84" s="73" t="s">
        <v>199</v>
      </c>
      <c r="C84" s="69" t="s">
        <v>22</v>
      </c>
      <c r="D84" s="51">
        <f>0.5*0.5</f>
        <v>0.25</v>
      </c>
      <c r="E84" s="89" t="s">
        <v>273</v>
      </c>
    </row>
    <row r="85" spans="1:5" ht="25.5" x14ac:dyDescent="0.25">
      <c r="A85" s="79" t="s">
        <v>55</v>
      </c>
      <c r="B85" s="70" t="s">
        <v>200</v>
      </c>
      <c r="C85" s="69" t="s">
        <v>12</v>
      </c>
      <c r="D85" s="51">
        <v>1</v>
      </c>
      <c r="E85" s="89" t="s">
        <v>274</v>
      </c>
    </row>
    <row r="86" spans="1:5" x14ac:dyDescent="0.25">
      <c r="A86" s="77" t="s">
        <v>58</v>
      </c>
      <c r="B86" s="67" t="s">
        <v>201</v>
      </c>
      <c r="C86" s="54"/>
      <c r="D86" s="55"/>
      <c r="E86" s="83"/>
    </row>
    <row r="87" spans="1:5" ht="25.5" x14ac:dyDescent="0.25">
      <c r="A87" s="79" t="s">
        <v>64</v>
      </c>
      <c r="B87" s="61" t="s">
        <v>142</v>
      </c>
      <c r="C87" s="59" t="s">
        <v>23</v>
      </c>
      <c r="D87" s="51">
        <f>1*0.25*0.1</f>
        <v>2.5000000000000001E-2</v>
      </c>
      <c r="E87" s="84" t="s">
        <v>275</v>
      </c>
    </row>
    <row r="88" spans="1:5" ht="38.25" x14ac:dyDescent="0.25">
      <c r="A88" s="79" t="s">
        <v>65</v>
      </c>
      <c r="B88" s="41" t="s">
        <v>202</v>
      </c>
      <c r="C88" s="46" t="s">
        <v>23</v>
      </c>
      <c r="D88" s="47">
        <f>D87</f>
        <v>2.5000000000000001E-2</v>
      </c>
      <c r="E88" s="48"/>
    </row>
    <row r="89" spans="1:5" ht="38.25" x14ac:dyDescent="0.25">
      <c r="A89" s="50" t="s">
        <v>66</v>
      </c>
      <c r="B89" s="41" t="s">
        <v>149</v>
      </c>
      <c r="C89" s="46" t="s">
        <v>22</v>
      </c>
      <c r="D89" s="47">
        <f>(1+1+0.25+0.25)*0.25</f>
        <v>0.625</v>
      </c>
      <c r="E89" s="48" t="s">
        <v>276</v>
      </c>
    </row>
    <row r="90" spans="1:5" ht="63.75" x14ac:dyDescent="0.25">
      <c r="A90" s="50" t="s">
        <v>67</v>
      </c>
      <c r="B90" s="41" t="s">
        <v>193</v>
      </c>
      <c r="C90" s="46" t="s">
        <v>22</v>
      </c>
      <c r="D90" s="47">
        <f>(1+1+0.25+0.25)*0.25</f>
        <v>0.625</v>
      </c>
      <c r="E90" s="48" t="s">
        <v>276</v>
      </c>
    </row>
    <row r="91" spans="1:5" x14ac:dyDescent="0.25">
      <c r="A91" s="77" t="s">
        <v>59</v>
      </c>
      <c r="B91" s="67" t="s">
        <v>203</v>
      </c>
      <c r="C91" s="54"/>
      <c r="D91" s="55"/>
      <c r="E91" s="83"/>
    </row>
    <row r="92" spans="1:5" ht="38.25" x14ac:dyDescent="0.25">
      <c r="A92" s="79" t="s">
        <v>60</v>
      </c>
      <c r="B92" s="41" t="s">
        <v>187</v>
      </c>
      <c r="C92" s="46" t="s">
        <v>22</v>
      </c>
      <c r="D92" s="47">
        <f>(3.05*0.6)+(2.6*0.6)+(1.1*0.6)+(15.8*1.2)+(17.31*1.1)</f>
        <v>42.051000000000002</v>
      </c>
      <c r="E92" s="48" t="s">
        <v>277</v>
      </c>
    </row>
    <row r="93" spans="1:5" ht="38.25" x14ac:dyDescent="0.25">
      <c r="A93" s="79" t="s">
        <v>93</v>
      </c>
      <c r="B93" s="41" t="s">
        <v>134</v>
      </c>
      <c r="C93" s="46" t="s">
        <v>23</v>
      </c>
      <c r="D93" s="47">
        <f>D92*0.03</f>
        <v>1.26153</v>
      </c>
      <c r="E93" s="48"/>
    </row>
    <row r="94" spans="1:5" ht="38.25" x14ac:dyDescent="0.25">
      <c r="A94" s="79" t="s">
        <v>94</v>
      </c>
      <c r="B94" s="41" t="s">
        <v>204</v>
      </c>
      <c r="C94" s="46" t="s">
        <v>22</v>
      </c>
      <c r="D94" s="47">
        <f>(3.05*0.6)+(2.6*0.6)+(1.1*0.6)+(15.8*1.2)+(17.31*1.1)</f>
        <v>42.051000000000002</v>
      </c>
      <c r="E94" s="48" t="s">
        <v>277</v>
      </c>
    </row>
    <row r="95" spans="1:5" ht="38.25" x14ac:dyDescent="0.25">
      <c r="A95" s="79" t="s">
        <v>95</v>
      </c>
      <c r="B95" s="41" t="s">
        <v>149</v>
      </c>
      <c r="C95" s="46" t="s">
        <v>22</v>
      </c>
      <c r="D95" s="47">
        <f>(3.05*0.6)+(2.6*0.6)+(1.1*0.6)+(15.8*1.2)+(17.31*1.1)</f>
        <v>42.051000000000002</v>
      </c>
      <c r="E95" s="48" t="s">
        <v>277</v>
      </c>
    </row>
    <row r="96" spans="1:5" ht="51" x14ac:dyDescent="0.25">
      <c r="A96" s="79" t="s">
        <v>96</v>
      </c>
      <c r="B96" s="41" t="s">
        <v>150</v>
      </c>
      <c r="C96" s="46" t="s">
        <v>22</v>
      </c>
      <c r="D96" s="47">
        <f>(3.05*0.6)+(2.6*0.6)+(1.1*0.6)+(15.8*1.2)+(17.31*1.1)</f>
        <v>42.051000000000002</v>
      </c>
      <c r="E96" s="48" t="s">
        <v>277</v>
      </c>
    </row>
    <row r="97" spans="1:5" x14ac:dyDescent="0.25">
      <c r="A97" s="77" t="s">
        <v>62</v>
      </c>
      <c r="B97" s="67" t="s">
        <v>207</v>
      </c>
      <c r="C97" s="54"/>
      <c r="D97" s="55"/>
      <c r="E97" s="83"/>
    </row>
    <row r="98" spans="1:5" ht="25.5" x14ac:dyDescent="0.25">
      <c r="A98" s="79" t="s">
        <v>63</v>
      </c>
      <c r="B98" s="70" t="s">
        <v>205</v>
      </c>
      <c r="C98" s="69" t="s">
        <v>22</v>
      </c>
      <c r="D98" s="51">
        <f>D33</f>
        <v>94</v>
      </c>
      <c r="E98" s="89"/>
    </row>
    <row r="99" spans="1:5" ht="38.25" x14ac:dyDescent="0.25">
      <c r="A99" s="79" t="s">
        <v>123</v>
      </c>
      <c r="B99" s="70" t="s">
        <v>206</v>
      </c>
      <c r="C99" s="69" t="s">
        <v>12</v>
      </c>
      <c r="D99" s="51">
        <f>D35</f>
        <v>14</v>
      </c>
      <c r="E99" s="89"/>
    </row>
    <row r="100" spans="1:5" x14ac:dyDescent="0.25">
      <c r="A100" s="77" t="s">
        <v>68</v>
      </c>
      <c r="B100" s="67" t="s">
        <v>32</v>
      </c>
      <c r="C100" s="54"/>
      <c r="D100" s="55"/>
      <c r="E100" s="83"/>
    </row>
    <row r="101" spans="1:5" ht="25.5" x14ac:dyDescent="0.25">
      <c r="A101" s="79" t="s">
        <v>69</v>
      </c>
      <c r="B101" s="70" t="s">
        <v>208</v>
      </c>
      <c r="C101" s="69" t="s">
        <v>22</v>
      </c>
      <c r="D101" s="51">
        <f>0.8*2.1*3</f>
        <v>5.0400000000000009</v>
      </c>
      <c r="E101" s="89" t="s">
        <v>278</v>
      </c>
    </row>
    <row r="102" spans="1:5" ht="38.25" x14ac:dyDescent="0.25">
      <c r="A102" s="79" t="s">
        <v>70</v>
      </c>
      <c r="B102" s="41" t="s">
        <v>202</v>
      </c>
      <c r="C102" s="46" t="s">
        <v>23</v>
      </c>
      <c r="D102" s="47">
        <f>D101*0.05</f>
        <v>0.25200000000000006</v>
      </c>
      <c r="E102" s="48"/>
    </row>
    <row r="103" spans="1:5" ht="38.25" x14ac:dyDescent="0.25">
      <c r="A103" s="79" t="s">
        <v>71</v>
      </c>
      <c r="B103" s="70" t="s">
        <v>209</v>
      </c>
      <c r="C103" s="69" t="s">
        <v>12</v>
      </c>
      <c r="D103" s="51">
        <v>1</v>
      </c>
      <c r="E103" s="89" t="s">
        <v>279</v>
      </c>
    </row>
    <row r="104" spans="1:5" ht="63.75" x14ac:dyDescent="0.25">
      <c r="A104" s="79" t="s">
        <v>124</v>
      </c>
      <c r="B104" s="70" t="s">
        <v>211</v>
      </c>
      <c r="C104" s="69" t="s">
        <v>12</v>
      </c>
      <c r="D104" s="51">
        <v>2</v>
      </c>
      <c r="E104" s="89" t="s">
        <v>280</v>
      </c>
    </row>
    <row r="105" spans="1:5" ht="25.5" x14ac:dyDescent="0.25">
      <c r="A105" s="79" t="s">
        <v>125</v>
      </c>
      <c r="B105" s="70" t="s">
        <v>210</v>
      </c>
      <c r="C105" s="69" t="s">
        <v>11</v>
      </c>
      <c r="D105" s="51">
        <f>(2.1+2.1+0.8)*2*2</f>
        <v>20</v>
      </c>
      <c r="E105" s="89" t="s">
        <v>281</v>
      </c>
    </row>
    <row r="106" spans="1:5" ht="38.25" x14ac:dyDescent="0.25">
      <c r="A106" s="79" t="s">
        <v>213</v>
      </c>
      <c r="B106" s="70" t="s">
        <v>212</v>
      </c>
      <c r="C106" s="69" t="s">
        <v>22</v>
      </c>
      <c r="D106" s="51">
        <f>1.3*2.2</f>
        <v>2.8600000000000003</v>
      </c>
      <c r="E106" s="89" t="s">
        <v>282</v>
      </c>
    </row>
    <row r="107" spans="1:5" x14ac:dyDescent="0.25">
      <c r="A107" s="77" t="s">
        <v>82</v>
      </c>
      <c r="B107" s="67" t="s">
        <v>79</v>
      </c>
      <c r="C107" s="54"/>
      <c r="D107" s="55"/>
      <c r="E107" s="83"/>
    </row>
    <row r="108" spans="1:5" ht="25.5" x14ac:dyDescent="0.25">
      <c r="A108" s="78" t="s">
        <v>83</v>
      </c>
      <c r="B108" s="70" t="s">
        <v>217</v>
      </c>
      <c r="C108" s="69" t="s">
        <v>22</v>
      </c>
      <c r="D108" s="51">
        <f>'memória cálculo pintura'!I21</f>
        <v>236.458</v>
      </c>
      <c r="E108" s="89" t="s">
        <v>297</v>
      </c>
    </row>
    <row r="109" spans="1:5" ht="25.5" x14ac:dyDescent="0.25">
      <c r="A109" s="79" t="s">
        <v>220</v>
      </c>
      <c r="B109" s="70" t="s">
        <v>214</v>
      </c>
      <c r="C109" s="69" t="s">
        <v>22</v>
      </c>
      <c r="D109" s="51">
        <f>D108</f>
        <v>236.458</v>
      </c>
      <c r="E109" s="89" t="s">
        <v>297</v>
      </c>
    </row>
    <row r="110" spans="1:5" ht="25.5" x14ac:dyDescent="0.25">
      <c r="A110" s="79" t="s">
        <v>221</v>
      </c>
      <c r="B110" s="70" t="s">
        <v>215</v>
      </c>
      <c r="C110" s="69" t="s">
        <v>22</v>
      </c>
      <c r="D110" s="51">
        <f>30.84+(53.8*0.2)</f>
        <v>41.6</v>
      </c>
      <c r="E110" s="89" t="s">
        <v>284</v>
      </c>
    </row>
    <row r="111" spans="1:5" ht="25.5" x14ac:dyDescent="0.25">
      <c r="A111" s="79" t="s">
        <v>222</v>
      </c>
      <c r="B111" s="70" t="s">
        <v>216</v>
      </c>
      <c r="C111" s="69" t="s">
        <v>22</v>
      </c>
      <c r="D111" s="51">
        <f>D110+10.08</f>
        <v>51.68</v>
      </c>
      <c r="E111" s="89" t="s">
        <v>301</v>
      </c>
    </row>
    <row r="112" spans="1:5" ht="51" x14ac:dyDescent="0.25">
      <c r="A112" s="79" t="s">
        <v>223</v>
      </c>
      <c r="B112" s="70" t="s">
        <v>218</v>
      </c>
      <c r="C112" s="69" t="s">
        <v>22</v>
      </c>
      <c r="D112" s="51">
        <f>44+23.94+46</f>
        <v>113.94</v>
      </c>
      <c r="E112" s="89" t="s">
        <v>300</v>
      </c>
    </row>
    <row r="113" spans="1:5" ht="25.5" x14ac:dyDescent="0.25">
      <c r="A113" s="79" t="s">
        <v>224</v>
      </c>
      <c r="B113" s="70" t="s">
        <v>219</v>
      </c>
      <c r="C113" s="69" t="s">
        <v>22</v>
      </c>
      <c r="D113" s="51">
        <v>160</v>
      </c>
      <c r="E113" s="89" t="s">
        <v>283</v>
      </c>
    </row>
    <row r="114" spans="1:5" x14ac:dyDescent="0.25">
      <c r="A114" s="77" t="s">
        <v>84</v>
      </c>
      <c r="B114" s="67" t="s">
        <v>80</v>
      </c>
      <c r="C114" s="54"/>
      <c r="D114" s="55"/>
      <c r="E114" s="83"/>
    </row>
    <row r="115" spans="1:5" ht="25.5" x14ac:dyDescent="0.25">
      <c r="A115" s="79" t="s">
        <v>85</v>
      </c>
      <c r="B115" s="70" t="s">
        <v>214</v>
      </c>
      <c r="C115" s="69" t="s">
        <v>22</v>
      </c>
      <c r="D115" s="51">
        <f>'memória cálculo pintura'!C93</f>
        <v>328.97200000000004</v>
      </c>
      <c r="E115" s="89"/>
    </row>
    <row r="116" spans="1:5" ht="25.5" x14ac:dyDescent="0.25">
      <c r="A116" s="79" t="s">
        <v>86</v>
      </c>
      <c r="B116" s="70" t="s">
        <v>215</v>
      </c>
      <c r="C116" s="69" t="s">
        <v>22</v>
      </c>
      <c r="D116" s="51">
        <f>'memória cálculo pintura'!E99</f>
        <v>73.920000000000016</v>
      </c>
      <c r="E116" s="89"/>
    </row>
    <row r="117" spans="1:5" ht="25.5" x14ac:dyDescent="0.25">
      <c r="A117" s="79" t="s">
        <v>87</v>
      </c>
      <c r="B117" s="70" t="s">
        <v>216</v>
      </c>
      <c r="C117" s="69" t="s">
        <v>22</v>
      </c>
      <c r="D117" s="51">
        <f>'memória cálculo pintura'!E99</f>
        <v>73.920000000000016</v>
      </c>
      <c r="E117" s="89"/>
    </row>
    <row r="118" spans="1:5" x14ac:dyDescent="0.25">
      <c r="A118" s="79" t="s">
        <v>225</v>
      </c>
      <c r="B118" s="70" t="s">
        <v>119</v>
      </c>
      <c r="C118" s="69" t="s">
        <v>22</v>
      </c>
      <c r="D118" s="71">
        <f>'memória cálculo pintura'!C95</f>
        <v>180.48000000000002</v>
      </c>
      <c r="E118" s="89"/>
    </row>
  </sheetData>
  <conditionalFormatting sqref="B8:E8 B3:E3 C52:E52 A52:A54 A69:A75 A77:A80 A87:A88 A101:A106 A109:A112 C4:E7 C9:E10 B80 A82:B85 A98:B99 B101 B103:B106 B16:E16 C18:E19 C40:E40 B53:E54 A56:E58 B70:E71 C72:E73 B77:E77 B88:E88 B102:E102 B108:B113 B20:E24 B36:E36 A60:E67 B74:E75 B78:C79 E78 D89:E90 A92:E96 C31:E35 A118 A115:B117 C44:E49 A42:A50 C28:E28 A3:A40">
    <cfRule type="expression" dxfId="107" priority="234">
      <formula>IF($H3="I",TRUE,FALSE)</formula>
    </cfRule>
    <cfRule type="expression" dxfId="106" priority="235">
      <formula>IF($H3="T",TRUE,FALSE)</formula>
    </cfRule>
  </conditionalFormatting>
  <conditionalFormatting sqref="C29:E29">
    <cfRule type="expression" dxfId="105" priority="225">
      <formula>IF($H29="I",TRUE,FALSE)</formula>
    </cfRule>
    <cfRule type="expression" dxfId="104" priority="226">
      <formula>IF($H29="T",TRUE,FALSE)</formula>
    </cfRule>
  </conditionalFormatting>
  <conditionalFormatting sqref="C26:E26">
    <cfRule type="expression" dxfId="103" priority="227">
      <formula>IF($H26="I",TRUE,FALSE)</formula>
    </cfRule>
    <cfRule type="expression" dxfId="102" priority="228">
      <formula>IF($H26="T",TRUE,FALSE)</formula>
    </cfRule>
  </conditionalFormatting>
  <conditionalFormatting sqref="C11:E12">
    <cfRule type="expression" dxfId="101" priority="213">
      <formula>IF($H11="I",TRUE,FALSE)</formula>
    </cfRule>
    <cfRule type="expression" dxfId="100" priority="214">
      <formula>IF($H11="T",TRUE,FALSE)</formula>
    </cfRule>
  </conditionalFormatting>
  <conditionalFormatting sqref="A9">
    <cfRule type="expression" dxfId="99" priority="208">
      <formula>IF($H9="I",TRUE,FALSE)</formula>
    </cfRule>
    <cfRule type="expression" dxfId="98" priority="209">
      <formula>IF($H9="T",TRUE,FALSE)</formula>
    </cfRule>
  </conditionalFormatting>
  <conditionalFormatting sqref="A8">
    <cfRule type="expression" dxfId="97" priority="206">
      <formula>IF($H8="I",TRUE,FALSE)</formula>
    </cfRule>
    <cfRule type="expression" dxfId="96" priority="207">
      <formula>IF($H8="T",TRUE,FALSE)</formula>
    </cfRule>
  </conditionalFormatting>
  <conditionalFormatting sqref="C27:E27">
    <cfRule type="expression" dxfId="95" priority="187">
      <formula>IF($H27="I",TRUE,FALSE)</formula>
    </cfRule>
    <cfRule type="expression" dxfId="94" priority="188">
      <formula>IF($H27="T",TRUE,FALSE)</formula>
    </cfRule>
  </conditionalFormatting>
  <conditionalFormatting sqref="A9">
    <cfRule type="expression" dxfId="93" priority="215">
      <formula>IF($H9="I",TRUE,FALSE)</formula>
    </cfRule>
    <cfRule type="expression" dxfId="92" priority="216">
      <formula>IF($H9="T",TRUE,FALSE)</formula>
    </cfRule>
  </conditionalFormatting>
  <conditionalFormatting sqref="A9">
    <cfRule type="expression" dxfId="91" priority="204">
      <formula>IF($H9="I",TRUE,FALSE)</formula>
    </cfRule>
    <cfRule type="expression" dxfId="90" priority="205">
      <formula>IF($H9="T",TRUE,FALSE)</formula>
    </cfRule>
  </conditionalFormatting>
  <conditionalFormatting sqref="A7">
    <cfRule type="expression" dxfId="89" priority="198">
      <formula>IF($H7="I",TRUE,FALSE)</formula>
    </cfRule>
    <cfRule type="expression" dxfId="88" priority="199">
      <formula>IF($H7="T",TRUE,FALSE)</formula>
    </cfRule>
  </conditionalFormatting>
  <conditionalFormatting sqref="A8">
    <cfRule type="expression" dxfId="87" priority="202">
      <formula>IF($H8="I",TRUE,FALSE)</formula>
    </cfRule>
    <cfRule type="expression" dxfId="86" priority="203">
      <formula>IF($H8="T",TRUE,FALSE)</formula>
    </cfRule>
  </conditionalFormatting>
  <conditionalFormatting sqref="A8">
    <cfRule type="expression" dxfId="85" priority="200">
      <formula>IF($H8="I",TRUE,FALSE)</formula>
    </cfRule>
    <cfRule type="expression" dxfId="84" priority="201">
      <formula>IF($H8="T",TRUE,FALSE)</formula>
    </cfRule>
  </conditionalFormatting>
  <conditionalFormatting sqref="C25:E25">
    <cfRule type="expression" dxfId="83" priority="192">
      <formula>IF($H25="I",TRUE,FALSE)</formula>
    </cfRule>
    <cfRule type="expression" dxfId="82" priority="193">
      <formula>IF($H25="T",TRUE,FALSE)</formula>
    </cfRule>
  </conditionalFormatting>
  <conditionalFormatting sqref="C38:E38">
    <cfRule type="expression" dxfId="81" priority="176">
      <formula>IF($H38="I",TRUE,FALSE)</formula>
    </cfRule>
    <cfRule type="expression" dxfId="80" priority="177">
      <formula>IF($H38="T",TRUE,FALSE)</formula>
    </cfRule>
  </conditionalFormatting>
  <conditionalFormatting sqref="C39:E39">
    <cfRule type="expression" dxfId="79" priority="169">
      <formula>IF($H39="I",TRUE,FALSE)</formula>
    </cfRule>
    <cfRule type="expression" dxfId="78" priority="170">
      <formula>IF($H39="T",TRUE,FALSE)</formula>
    </cfRule>
  </conditionalFormatting>
  <conditionalFormatting sqref="C37:E37">
    <cfRule type="expression" dxfId="77" priority="174">
      <formula>IF($H37="I",TRUE,FALSE)</formula>
    </cfRule>
    <cfRule type="expression" dxfId="76" priority="175">
      <formula>IF($H37="T",TRUE,FALSE)</formula>
    </cfRule>
  </conditionalFormatting>
  <conditionalFormatting sqref="A41:A43">
    <cfRule type="expression" dxfId="75" priority="167">
      <formula>IF($H41="I",TRUE,FALSE)</formula>
    </cfRule>
    <cfRule type="expression" dxfId="74" priority="168">
      <formula>IF($H41="T",TRUE,FALSE)</formula>
    </cfRule>
  </conditionalFormatting>
  <conditionalFormatting sqref="C41:E43">
    <cfRule type="expression" dxfId="73" priority="165">
      <formula>IF($H41="I",TRUE,FALSE)</formula>
    </cfRule>
    <cfRule type="expression" dxfId="72" priority="166">
      <formula>IF($H41="T",TRUE,FALSE)</formula>
    </cfRule>
  </conditionalFormatting>
  <conditionalFormatting sqref="A51">
    <cfRule type="expression" dxfId="71" priority="155">
      <formula>IF($H51="I",TRUE,FALSE)</formula>
    </cfRule>
    <cfRule type="expression" dxfId="70" priority="156">
      <formula>IF($H51="T",TRUE,FALSE)</formula>
    </cfRule>
  </conditionalFormatting>
  <conditionalFormatting sqref="C51:E51">
    <cfRule type="expression" dxfId="69" priority="153">
      <formula>IF($H51="I",TRUE,FALSE)</formula>
    </cfRule>
    <cfRule type="expression" dxfId="68" priority="154">
      <formula>IF($H51="T",TRUE,FALSE)</formula>
    </cfRule>
  </conditionalFormatting>
  <conditionalFormatting sqref="A55">
    <cfRule type="expression" dxfId="67" priority="148">
      <formula>IF($H55="I",TRUE,FALSE)</formula>
    </cfRule>
    <cfRule type="expression" dxfId="66" priority="149">
      <formula>IF($H55="T",TRUE,FALSE)</formula>
    </cfRule>
  </conditionalFormatting>
  <conditionalFormatting sqref="C55:E55">
    <cfRule type="expression" dxfId="65" priority="146">
      <formula>IF($H55="I",TRUE,FALSE)</formula>
    </cfRule>
    <cfRule type="expression" dxfId="64" priority="147">
      <formula>IF($H55="T",TRUE,FALSE)</formula>
    </cfRule>
  </conditionalFormatting>
  <conditionalFormatting sqref="A59">
    <cfRule type="expression" dxfId="63" priority="134">
      <formula>IF($H59="I",TRUE,FALSE)</formula>
    </cfRule>
    <cfRule type="expression" dxfId="62" priority="135">
      <formula>IF($H59="T",TRUE,FALSE)</formula>
    </cfRule>
  </conditionalFormatting>
  <conditionalFormatting sqref="C59:E59">
    <cfRule type="expression" dxfId="61" priority="132">
      <formula>IF($H59="I",TRUE,FALSE)</formula>
    </cfRule>
    <cfRule type="expression" dxfId="60" priority="133">
      <formula>IF($H59="T",TRUE,FALSE)</formula>
    </cfRule>
  </conditionalFormatting>
  <conditionalFormatting sqref="A68">
    <cfRule type="expression" dxfId="59" priority="125">
      <formula>IF($H68="I",TRUE,FALSE)</formula>
    </cfRule>
    <cfRule type="expression" dxfId="58" priority="126">
      <formula>IF($H68="T",TRUE,FALSE)</formula>
    </cfRule>
  </conditionalFormatting>
  <conditionalFormatting sqref="C68:E68">
    <cfRule type="expression" dxfId="57" priority="123">
      <formula>IF($H68="I",TRUE,FALSE)</formula>
    </cfRule>
    <cfRule type="expression" dxfId="56" priority="124">
      <formula>IF($H68="T",TRUE,FALSE)</formula>
    </cfRule>
  </conditionalFormatting>
  <conditionalFormatting sqref="A91">
    <cfRule type="expression" dxfId="55" priority="89">
      <formula>IF($H91="I",TRUE,FALSE)</formula>
    </cfRule>
    <cfRule type="expression" dxfId="54" priority="90">
      <formula>IF($H91="T",TRUE,FALSE)</formula>
    </cfRule>
  </conditionalFormatting>
  <conditionalFormatting sqref="C91:E91">
    <cfRule type="expression" dxfId="53" priority="87">
      <formula>IF($H91="I",TRUE,FALSE)</formula>
    </cfRule>
    <cfRule type="expression" dxfId="52" priority="88">
      <formula>IF($H91="T",TRUE,FALSE)</formula>
    </cfRule>
  </conditionalFormatting>
  <conditionalFormatting sqref="A76">
    <cfRule type="expression" dxfId="51" priority="111">
      <formula>IF($H76="I",TRUE,FALSE)</formula>
    </cfRule>
    <cfRule type="expression" dxfId="50" priority="112">
      <formula>IF($H76="T",TRUE,FALSE)</formula>
    </cfRule>
  </conditionalFormatting>
  <conditionalFormatting sqref="C76:E76">
    <cfRule type="expression" dxfId="49" priority="109">
      <formula>IF($H76="I",TRUE,FALSE)</formula>
    </cfRule>
    <cfRule type="expression" dxfId="48" priority="110">
      <formula>IF($H76="T",TRUE,FALSE)</formula>
    </cfRule>
  </conditionalFormatting>
  <conditionalFormatting sqref="A81">
    <cfRule type="expression" dxfId="47" priority="102">
      <formula>IF($H81="I",TRUE,FALSE)</formula>
    </cfRule>
    <cfRule type="expression" dxfId="46" priority="103">
      <formula>IF($H81="T",TRUE,FALSE)</formula>
    </cfRule>
  </conditionalFormatting>
  <conditionalFormatting sqref="C81:E81">
    <cfRule type="expression" dxfId="45" priority="100">
      <formula>IF($H81="I",TRUE,FALSE)</formula>
    </cfRule>
    <cfRule type="expression" dxfId="44" priority="101">
      <formula>IF($H81="T",TRUE,FALSE)</formula>
    </cfRule>
  </conditionalFormatting>
  <conditionalFormatting sqref="A86">
    <cfRule type="expression" dxfId="43" priority="96">
      <formula>IF($H86="I",TRUE,FALSE)</formula>
    </cfRule>
    <cfRule type="expression" dxfId="42" priority="97">
      <formula>IF($H86="T",TRUE,FALSE)</formula>
    </cfRule>
  </conditionalFormatting>
  <conditionalFormatting sqref="C86:E86">
    <cfRule type="expression" dxfId="41" priority="94">
      <formula>IF($H86="I",TRUE,FALSE)</formula>
    </cfRule>
    <cfRule type="expression" dxfId="40" priority="95">
      <formula>IF($H86="T",TRUE,FALSE)</formula>
    </cfRule>
  </conditionalFormatting>
  <conditionalFormatting sqref="A97">
    <cfRule type="expression" dxfId="39" priority="66">
      <formula>IF($H97="I",TRUE,FALSE)</formula>
    </cfRule>
    <cfRule type="expression" dxfId="38" priority="67">
      <formula>IF($H97="T",TRUE,FALSE)</formula>
    </cfRule>
  </conditionalFormatting>
  <conditionalFormatting sqref="C97:E97">
    <cfRule type="expression" dxfId="37" priority="64">
      <formula>IF($H97="I",TRUE,FALSE)</formula>
    </cfRule>
    <cfRule type="expression" dxfId="36" priority="65">
      <formula>IF($H97="T",TRUE,FALSE)</formula>
    </cfRule>
  </conditionalFormatting>
  <conditionalFormatting sqref="A100">
    <cfRule type="expression" dxfId="35" priority="60">
      <formula>IF($H100="I",TRUE,FALSE)</formula>
    </cfRule>
    <cfRule type="expression" dxfId="34" priority="61">
      <formula>IF($H100="T",TRUE,FALSE)</formula>
    </cfRule>
  </conditionalFormatting>
  <conditionalFormatting sqref="C100:E100">
    <cfRule type="expression" dxfId="33" priority="58">
      <formula>IF($H100="I",TRUE,FALSE)</formula>
    </cfRule>
    <cfRule type="expression" dxfId="32" priority="59">
      <formula>IF($H100="T",TRUE,FALSE)</formula>
    </cfRule>
  </conditionalFormatting>
  <conditionalFormatting sqref="A107:A108">
    <cfRule type="expression" dxfId="31" priority="53">
      <formula>IF($H107="I",TRUE,FALSE)</formula>
    </cfRule>
    <cfRule type="expression" dxfId="30" priority="54">
      <formula>IF($H107="T",TRUE,FALSE)</formula>
    </cfRule>
  </conditionalFormatting>
  <conditionalFormatting sqref="C107:E107">
    <cfRule type="expression" dxfId="29" priority="51">
      <formula>IF($H107="I",TRUE,FALSE)</formula>
    </cfRule>
    <cfRule type="expression" dxfId="28" priority="52">
      <formula>IF($H107="T",TRUE,FALSE)</formula>
    </cfRule>
  </conditionalFormatting>
  <conditionalFormatting sqref="A114">
    <cfRule type="expression" dxfId="27" priority="42">
      <formula>IF($H114="I",TRUE,FALSE)</formula>
    </cfRule>
    <cfRule type="expression" dxfId="26" priority="43">
      <formula>IF($H114="T",TRUE,FALSE)</formula>
    </cfRule>
  </conditionalFormatting>
  <conditionalFormatting sqref="C114:E114">
    <cfRule type="expression" dxfId="25" priority="40">
      <formula>IF($H114="I",TRUE,FALSE)</formula>
    </cfRule>
    <cfRule type="expression" dxfId="24" priority="41">
      <formula>IF($H114="T",TRUE,FALSE)</formula>
    </cfRule>
  </conditionalFormatting>
  <conditionalFormatting sqref="A113">
    <cfRule type="expression" dxfId="23" priority="38">
      <formula>IF($H113="I",TRUE,FALSE)</formula>
    </cfRule>
    <cfRule type="expression" dxfId="22" priority="39">
      <formula>IF($H113="T",TRUE,FALSE)</formula>
    </cfRule>
  </conditionalFormatting>
  <conditionalFormatting sqref="A50 C50:E50">
    <cfRule type="expression" dxfId="21" priority="21">
      <formula>IF($H50="I",TRUE,FALSE)</formula>
    </cfRule>
    <cfRule type="expression" dxfId="20" priority="22">
      <formula>IF($H50="T",TRUE,FALSE)</formula>
    </cfRule>
  </conditionalFormatting>
  <conditionalFormatting sqref="D78:D80">
    <cfRule type="expression" dxfId="19" priority="19">
      <formula>IF($H78="I",TRUE,FALSE)</formula>
    </cfRule>
    <cfRule type="expression" dxfId="18" priority="20">
      <formula>IF($H78="T",TRUE,FALSE)</formula>
    </cfRule>
  </conditionalFormatting>
  <conditionalFormatting sqref="E79:E80">
    <cfRule type="expression" dxfId="17" priority="17">
      <formula>IF($H79="I",TRUE,FALSE)</formula>
    </cfRule>
    <cfRule type="expression" dxfId="16" priority="18">
      <formula>IF($H79="T",TRUE,FALSE)</formula>
    </cfRule>
  </conditionalFormatting>
  <conditionalFormatting sqref="A89:A90">
    <cfRule type="expression" dxfId="15" priority="11">
      <formula>IF($L89="I",TRUE,FALSE)</formula>
    </cfRule>
    <cfRule type="expression" dxfId="14" priority="12">
      <formula>IF($L89="T",TRUE,FALSE)</formula>
    </cfRule>
  </conditionalFormatting>
  <conditionalFormatting sqref="B90:C90">
    <cfRule type="expression" dxfId="13" priority="15">
      <formula>IF($L90="I",TRUE,FALSE)</formula>
    </cfRule>
    <cfRule type="expression" dxfId="12" priority="16">
      <formula>IF($L90="T",TRUE,FALSE)</formula>
    </cfRule>
  </conditionalFormatting>
  <conditionalFormatting sqref="B89:C89">
    <cfRule type="expression" dxfId="11" priority="13">
      <formula>IF($L89="I",TRUE,FALSE)</formula>
    </cfRule>
    <cfRule type="expression" dxfId="10" priority="14">
      <formula>IF($L89="T",TRUE,FALSE)</formula>
    </cfRule>
  </conditionalFormatting>
  <conditionalFormatting sqref="B118">
    <cfRule type="expression" dxfId="9" priority="9">
      <formula>IF($L118="I",TRUE,FALSE)</formula>
    </cfRule>
    <cfRule type="expression" dxfId="8" priority="10">
      <formula>IF($L118="T",TRUE,FALSE)</formula>
    </cfRule>
  </conditionalFormatting>
  <conditionalFormatting sqref="C13:E13">
    <cfRule type="expression" dxfId="7" priority="7">
      <formula>IF($H13="I",TRUE,FALSE)</formula>
    </cfRule>
    <cfRule type="expression" dxfId="6" priority="8">
      <formula>IF($H13="T",TRUE,FALSE)</formula>
    </cfRule>
  </conditionalFormatting>
  <conditionalFormatting sqref="C14:E14 D15:E15">
    <cfRule type="expression" dxfId="5" priority="5">
      <formula>IF($H14="I",TRUE,FALSE)</formula>
    </cfRule>
    <cfRule type="expression" dxfId="4" priority="6">
      <formula>IF($H14="T",TRUE,FALSE)</formula>
    </cfRule>
  </conditionalFormatting>
  <conditionalFormatting sqref="A48">
    <cfRule type="expression" dxfId="3" priority="3">
      <formula>IF($H48="I",TRUE,FALSE)</formula>
    </cfRule>
    <cfRule type="expression" dxfId="2" priority="4">
      <formula>IF($H48="T",TRUE,FALSE)</formula>
    </cfRule>
  </conditionalFormatting>
  <conditionalFormatting sqref="C15">
    <cfRule type="expression" dxfId="1" priority="1">
      <formula>IF($L15="I",TRUE,FALSE)</formula>
    </cfRule>
    <cfRule type="expression" dxfId="0" priority="2">
      <formula>IF($L15="T",TRUE,FALSE)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75" fitToHeight="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opLeftCell="A80" workbookViewId="0">
      <selection activeCell="J99" sqref="J99"/>
    </sheetView>
  </sheetViews>
  <sheetFormatPr defaultRowHeight="15" x14ac:dyDescent="0.25"/>
  <cols>
    <col min="1" max="1" width="11.42578125" customWidth="1"/>
    <col min="2" max="2" width="9.140625" style="90"/>
    <col min="3" max="3" width="9.140625" style="33"/>
    <col min="5" max="5" width="9.140625" style="13"/>
  </cols>
  <sheetData>
    <row r="1" spans="1:4" x14ac:dyDescent="0.25">
      <c r="A1" t="s">
        <v>293</v>
      </c>
    </row>
    <row r="3" spans="1:4" x14ac:dyDescent="0.25">
      <c r="A3" t="s">
        <v>285</v>
      </c>
    </row>
    <row r="5" spans="1:4" x14ac:dyDescent="0.25">
      <c r="A5" t="s">
        <v>288</v>
      </c>
      <c r="B5" s="90">
        <v>20.37</v>
      </c>
      <c r="C5" s="33" t="s">
        <v>13</v>
      </c>
      <c r="D5" t="s">
        <v>286</v>
      </c>
    </row>
    <row r="6" spans="1:4" x14ac:dyDescent="0.25">
      <c r="A6" t="s">
        <v>287</v>
      </c>
      <c r="B6" s="90">
        <f>2.9*18.2</f>
        <v>52.779999999999994</v>
      </c>
      <c r="C6" s="33" t="s">
        <v>13</v>
      </c>
    </row>
    <row r="7" spans="1:4" x14ac:dyDescent="0.25">
      <c r="A7" t="s">
        <v>289</v>
      </c>
      <c r="B7" s="90">
        <f>2.9*(8.55+2.25)</f>
        <v>31.32</v>
      </c>
      <c r="C7" s="33" t="s">
        <v>13</v>
      </c>
    </row>
    <row r="8" spans="1:4" x14ac:dyDescent="0.25">
      <c r="A8" t="s">
        <v>310</v>
      </c>
      <c r="B8" s="90">
        <f>0.8*2.2*4</f>
        <v>7.0400000000000009</v>
      </c>
      <c r="C8" s="33" t="s">
        <v>13</v>
      </c>
    </row>
    <row r="10" spans="1:4" x14ac:dyDescent="0.25">
      <c r="A10" t="s">
        <v>290</v>
      </c>
    </row>
    <row r="12" spans="1:4" x14ac:dyDescent="0.25">
      <c r="A12" t="s">
        <v>288</v>
      </c>
      <c r="B12" s="90">
        <f>10.35*2</f>
        <v>20.7</v>
      </c>
      <c r="C12" s="33" t="s">
        <v>13</v>
      </c>
      <c r="D12" t="s">
        <v>286</v>
      </c>
    </row>
    <row r="14" spans="1:4" x14ac:dyDescent="0.25">
      <c r="A14" t="s">
        <v>291</v>
      </c>
    </row>
    <row r="16" spans="1:4" x14ac:dyDescent="0.25">
      <c r="A16" t="s">
        <v>288</v>
      </c>
      <c r="B16" s="90">
        <f>18.38*2</f>
        <v>36.76</v>
      </c>
      <c r="C16" s="33" t="s">
        <v>13</v>
      </c>
      <c r="D16" t="s">
        <v>286</v>
      </c>
    </row>
    <row r="17" spans="1:10" x14ac:dyDescent="0.25">
      <c r="A17" t="s">
        <v>289</v>
      </c>
      <c r="B17" s="90">
        <f>3.54*18.2</f>
        <v>64.427999999999997</v>
      </c>
      <c r="C17" s="33" t="s">
        <v>13</v>
      </c>
    </row>
    <row r="18" spans="1:10" x14ac:dyDescent="0.25">
      <c r="A18" t="s">
        <v>287</v>
      </c>
      <c r="B18" s="90">
        <f>(6.9+2.25)*4.25</f>
        <v>38.887500000000003</v>
      </c>
      <c r="C18" s="33" t="s">
        <v>13</v>
      </c>
    </row>
    <row r="19" spans="1:10" x14ac:dyDescent="0.25">
      <c r="A19" t="s">
        <v>292</v>
      </c>
      <c r="B19" s="90">
        <f>0.25*9.05</f>
        <v>2.2625000000000002</v>
      </c>
      <c r="C19" s="33" t="s">
        <v>13</v>
      </c>
    </row>
    <row r="21" spans="1:10" x14ac:dyDescent="0.25">
      <c r="A21" t="s">
        <v>294</v>
      </c>
      <c r="B21" s="90">
        <f>SUM(B5:B20)</f>
        <v>274.548</v>
      </c>
      <c r="C21" s="33" t="s">
        <v>13</v>
      </c>
      <c r="F21" s="93" t="s">
        <v>296</v>
      </c>
      <c r="G21" s="93"/>
      <c r="H21" s="93"/>
      <c r="I21" s="94">
        <f>B21-D23</f>
        <v>236.458</v>
      </c>
      <c r="J21" s="93" t="s">
        <v>22</v>
      </c>
    </row>
    <row r="23" spans="1:10" x14ac:dyDescent="0.25">
      <c r="A23" t="s">
        <v>295</v>
      </c>
      <c r="D23">
        <f>D33</f>
        <v>38.090000000000003</v>
      </c>
      <c r="E23" s="13" t="s">
        <v>13</v>
      </c>
    </row>
    <row r="25" spans="1:10" x14ac:dyDescent="0.25">
      <c r="A25" s="33">
        <v>1.2</v>
      </c>
      <c r="B25" s="90">
        <v>1</v>
      </c>
      <c r="C25" s="33">
        <v>6</v>
      </c>
      <c r="D25">
        <f>C25*B25*A25</f>
        <v>7.1999999999999993</v>
      </c>
      <c r="E25" s="90" t="s">
        <v>13</v>
      </c>
    </row>
    <row r="26" spans="1:10" x14ac:dyDescent="0.25">
      <c r="A26" s="33">
        <v>1.5</v>
      </c>
      <c r="B26" s="90">
        <v>1</v>
      </c>
      <c r="C26" s="33">
        <v>3</v>
      </c>
      <c r="D26">
        <f t="shared" ref="D26:D32" si="0">C26*B26*A26</f>
        <v>4.5</v>
      </c>
      <c r="E26" s="90" t="s">
        <v>13</v>
      </c>
    </row>
    <row r="27" spans="1:10" x14ac:dyDescent="0.25">
      <c r="A27" s="33">
        <v>2.5</v>
      </c>
      <c r="B27" s="90">
        <v>2.1</v>
      </c>
      <c r="C27" s="33">
        <v>1</v>
      </c>
      <c r="D27">
        <f t="shared" si="0"/>
        <v>5.25</v>
      </c>
      <c r="E27" s="90" t="s">
        <v>13</v>
      </c>
    </row>
    <row r="28" spans="1:10" x14ac:dyDescent="0.25">
      <c r="A28" s="33">
        <v>0.7</v>
      </c>
      <c r="B28" s="90">
        <v>0.6</v>
      </c>
      <c r="C28" s="33">
        <v>3</v>
      </c>
      <c r="D28">
        <f t="shared" si="0"/>
        <v>1.2599999999999998</v>
      </c>
      <c r="E28" s="90" t="s">
        <v>13</v>
      </c>
    </row>
    <row r="29" spans="1:10" x14ac:dyDescent="0.25">
      <c r="A29" s="33">
        <v>0.8</v>
      </c>
      <c r="B29" s="90">
        <v>2.1</v>
      </c>
      <c r="C29" s="33">
        <v>3</v>
      </c>
      <c r="D29">
        <f t="shared" si="0"/>
        <v>5.0400000000000009</v>
      </c>
      <c r="E29" s="90" t="s">
        <v>13</v>
      </c>
    </row>
    <row r="30" spans="1:10" x14ac:dyDescent="0.25">
      <c r="A30" s="33">
        <v>0.8</v>
      </c>
      <c r="B30" s="90">
        <v>0.6</v>
      </c>
      <c r="C30" s="33">
        <v>3</v>
      </c>
      <c r="D30">
        <f t="shared" si="0"/>
        <v>1.44</v>
      </c>
      <c r="E30" s="90" t="s">
        <v>13</v>
      </c>
    </row>
    <row r="31" spans="1:10" x14ac:dyDescent="0.25">
      <c r="A31" s="33">
        <v>1.5</v>
      </c>
      <c r="B31" s="90">
        <v>1.2</v>
      </c>
      <c r="C31" s="33">
        <v>7</v>
      </c>
      <c r="D31">
        <f t="shared" si="0"/>
        <v>12.600000000000001</v>
      </c>
      <c r="E31" s="90" t="s">
        <v>13</v>
      </c>
    </row>
    <row r="32" spans="1:10" x14ac:dyDescent="0.25">
      <c r="A32" s="33">
        <v>1</v>
      </c>
      <c r="B32" s="90">
        <v>0.8</v>
      </c>
      <c r="C32" s="33">
        <v>1</v>
      </c>
      <c r="D32">
        <f t="shared" si="0"/>
        <v>0.8</v>
      </c>
      <c r="E32" s="90" t="s">
        <v>13</v>
      </c>
    </row>
    <row r="33" spans="1:5" x14ac:dyDescent="0.25">
      <c r="C33" s="33" t="s">
        <v>81</v>
      </c>
      <c r="D33">
        <f>SUM(D25:D32)</f>
        <v>38.090000000000003</v>
      </c>
      <c r="E33" s="90" t="s">
        <v>13</v>
      </c>
    </row>
    <row r="35" spans="1:5" x14ac:dyDescent="0.25">
      <c r="A35" s="93" t="s">
        <v>298</v>
      </c>
      <c r="B35" s="95"/>
      <c r="C35" s="96"/>
      <c r="D35" s="93">
        <f>(D37+D38+D39)*2</f>
        <v>23.94</v>
      </c>
      <c r="E35" s="95" t="s">
        <v>22</v>
      </c>
    </row>
    <row r="37" spans="1:5" x14ac:dyDescent="0.25">
      <c r="A37">
        <v>1.2</v>
      </c>
      <c r="B37" s="90">
        <v>1</v>
      </c>
      <c r="C37" s="33">
        <v>4</v>
      </c>
      <c r="D37">
        <f>C37*B37*A37</f>
        <v>4.8</v>
      </c>
      <c r="E37" s="90" t="s">
        <v>13</v>
      </c>
    </row>
    <row r="38" spans="1:5" x14ac:dyDescent="0.25">
      <c r="A38">
        <v>2.5</v>
      </c>
      <c r="B38" s="90">
        <v>2.1</v>
      </c>
      <c r="C38" s="33">
        <v>1</v>
      </c>
      <c r="D38">
        <f t="shared" ref="D38:D39" si="1">C38*B38*A38</f>
        <v>5.25</v>
      </c>
      <c r="E38" s="90" t="s">
        <v>13</v>
      </c>
    </row>
    <row r="39" spans="1:5" x14ac:dyDescent="0.25">
      <c r="A39">
        <v>0.8</v>
      </c>
      <c r="B39" s="90">
        <v>0.6</v>
      </c>
      <c r="C39" s="33">
        <v>4</v>
      </c>
      <c r="D39">
        <f t="shared" si="1"/>
        <v>1.92</v>
      </c>
      <c r="E39" s="90" t="s">
        <v>13</v>
      </c>
    </row>
    <row r="42" spans="1:5" x14ac:dyDescent="0.25">
      <c r="A42" s="93" t="s">
        <v>299</v>
      </c>
      <c r="B42" s="95"/>
      <c r="C42" s="96"/>
      <c r="D42" s="93">
        <f>D50*2</f>
        <v>46.000000000000007</v>
      </c>
      <c r="E42" s="95" t="s">
        <v>22</v>
      </c>
    </row>
    <row r="44" spans="1:5" x14ac:dyDescent="0.25">
      <c r="A44" s="33">
        <v>1.2</v>
      </c>
      <c r="B44" s="90">
        <v>1</v>
      </c>
      <c r="C44" s="33">
        <v>2</v>
      </c>
      <c r="D44">
        <f>C44*B44*A44</f>
        <v>2.4</v>
      </c>
      <c r="E44" s="90" t="s">
        <v>13</v>
      </c>
    </row>
    <row r="45" spans="1:5" x14ac:dyDescent="0.25">
      <c r="A45" s="33">
        <v>1.5</v>
      </c>
      <c r="B45" s="90">
        <v>1</v>
      </c>
      <c r="C45" s="33">
        <v>3</v>
      </c>
      <c r="D45">
        <f t="shared" ref="D45:D49" si="2">C45*B45*A45</f>
        <v>4.5</v>
      </c>
      <c r="E45" s="90" t="s">
        <v>13</v>
      </c>
    </row>
    <row r="46" spans="1:5" x14ac:dyDescent="0.25">
      <c r="A46" s="33">
        <v>0.7</v>
      </c>
      <c r="B46" s="90">
        <v>0.6</v>
      </c>
      <c r="C46" s="33">
        <v>3</v>
      </c>
      <c r="D46">
        <f t="shared" si="2"/>
        <v>1.2599999999999998</v>
      </c>
      <c r="E46" s="90" t="s">
        <v>13</v>
      </c>
    </row>
    <row r="47" spans="1:5" x14ac:dyDescent="0.25">
      <c r="A47" s="33">
        <v>0.8</v>
      </c>
      <c r="B47" s="90">
        <v>0.6</v>
      </c>
      <c r="C47" s="33">
        <v>3</v>
      </c>
      <c r="D47">
        <f t="shared" si="2"/>
        <v>1.44</v>
      </c>
      <c r="E47" s="90" t="s">
        <v>13</v>
      </c>
    </row>
    <row r="48" spans="1:5" x14ac:dyDescent="0.25">
      <c r="A48" s="33">
        <v>1.5</v>
      </c>
      <c r="B48" s="90">
        <v>1.2</v>
      </c>
      <c r="C48" s="33">
        <v>7</v>
      </c>
      <c r="D48">
        <f t="shared" si="2"/>
        <v>12.600000000000001</v>
      </c>
      <c r="E48" s="90" t="s">
        <v>13</v>
      </c>
    </row>
    <row r="49" spans="1:6" x14ac:dyDescent="0.25">
      <c r="A49" s="33">
        <v>1</v>
      </c>
      <c r="B49" s="90">
        <v>0.8</v>
      </c>
      <c r="C49" s="33">
        <v>1</v>
      </c>
      <c r="D49">
        <f t="shared" si="2"/>
        <v>0.8</v>
      </c>
      <c r="E49" s="90" t="s">
        <v>13</v>
      </c>
    </row>
    <row r="50" spans="1:6" x14ac:dyDescent="0.25">
      <c r="C50" s="33" t="s">
        <v>81</v>
      </c>
      <c r="D50">
        <f>SUM(D44:D49)</f>
        <v>23.000000000000004</v>
      </c>
      <c r="E50" s="90" t="s">
        <v>13</v>
      </c>
    </row>
    <row r="54" spans="1:6" x14ac:dyDescent="0.25">
      <c r="A54" s="92" t="s">
        <v>302</v>
      </c>
    </row>
    <row r="56" spans="1:6" x14ac:dyDescent="0.25">
      <c r="A56" s="91" t="s">
        <v>303</v>
      </c>
      <c r="C56" s="33">
        <v>23.4</v>
      </c>
      <c r="D56" t="s">
        <v>26</v>
      </c>
    </row>
    <row r="57" spans="1:6" x14ac:dyDescent="0.25">
      <c r="A57" t="s">
        <v>307</v>
      </c>
      <c r="C57" s="33">
        <v>23.4</v>
      </c>
      <c r="D57" s="33">
        <v>1.5</v>
      </c>
      <c r="E57" s="90">
        <f>C57*D57</f>
        <v>35.099999999999994</v>
      </c>
      <c r="F57" s="33" t="s">
        <v>13</v>
      </c>
    </row>
    <row r="58" spans="1:6" x14ac:dyDescent="0.25">
      <c r="A58" t="s">
        <v>308</v>
      </c>
      <c r="C58" s="33">
        <v>23.4</v>
      </c>
      <c r="D58" s="33">
        <v>2</v>
      </c>
      <c r="E58" s="90">
        <f>D58*C58</f>
        <v>46.8</v>
      </c>
      <c r="F58" s="33" t="s">
        <v>13</v>
      </c>
    </row>
    <row r="60" spans="1:6" x14ac:dyDescent="0.25">
      <c r="A60" t="s">
        <v>309</v>
      </c>
      <c r="C60" s="33">
        <v>8.9</v>
      </c>
      <c r="D60" t="s">
        <v>26</v>
      </c>
    </row>
    <row r="61" spans="1:6" x14ac:dyDescent="0.25">
      <c r="A61" t="s">
        <v>307</v>
      </c>
      <c r="C61" s="33">
        <f>C60</f>
        <v>8.9</v>
      </c>
      <c r="D61" s="33">
        <v>1.5</v>
      </c>
      <c r="E61" s="90">
        <f>C61*D61</f>
        <v>13.350000000000001</v>
      </c>
      <c r="F61" s="33" t="s">
        <v>13</v>
      </c>
    </row>
    <row r="62" spans="1:6" x14ac:dyDescent="0.25">
      <c r="A62" t="s">
        <v>308</v>
      </c>
      <c r="C62" s="33">
        <f>C60</f>
        <v>8.9</v>
      </c>
      <c r="D62" s="33">
        <v>2</v>
      </c>
      <c r="E62" s="90">
        <f>D62*C62</f>
        <v>17.8</v>
      </c>
      <c r="F62" s="33" t="s">
        <v>13</v>
      </c>
    </row>
    <row r="64" spans="1:6" x14ac:dyDescent="0.25">
      <c r="A64" t="s">
        <v>311</v>
      </c>
      <c r="C64" s="33">
        <v>8.6999999999999993</v>
      </c>
      <c r="D64" t="s">
        <v>26</v>
      </c>
    </row>
    <row r="65" spans="1:6" x14ac:dyDescent="0.25">
      <c r="A65" t="s">
        <v>307</v>
      </c>
      <c r="C65" s="33">
        <f>C64</f>
        <v>8.6999999999999993</v>
      </c>
      <c r="D65" s="33">
        <v>1.5</v>
      </c>
      <c r="E65" s="90">
        <f>C65*D65</f>
        <v>13.049999999999999</v>
      </c>
      <c r="F65" s="33" t="s">
        <v>13</v>
      </c>
    </row>
    <row r="66" spans="1:6" x14ac:dyDescent="0.25">
      <c r="A66" t="s">
        <v>308</v>
      </c>
      <c r="C66" s="33">
        <f>C64</f>
        <v>8.6999999999999993</v>
      </c>
      <c r="D66" s="33">
        <v>1.5</v>
      </c>
      <c r="E66" s="90">
        <f>D66*C66</f>
        <v>13.049999999999999</v>
      </c>
      <c r="F66" s="33" t="s">
        <v>13</v>
      </c>
    </row>
    <row r="68" spans="1:6" x14ac:dyDescent="0.25">
      <c r="A68" t="s">
        <v>312</v>
      </c>
      <c r="C68" s="33">
        <v>7.4</v>
      </c>
      <c r="D68" t="s">
        <v>26</v>
      </c>
    </row>
    <row r="69" spans="1:6" x14ac:dyDescent="0.25">
      <c r="A69" t="s">
        <v>307</v>
      </c>
      <c r="C69" s="33">
        <f>C68</f>
        <v>7.4</v>
      </c>
      <c r="D69" s="33">
        <v>1.5</v>
      </c>
      <c r="E69" s="90">
        <f>C69*D69</f>
        <v>11.100000000000001</v>
      </c>
      <c r="F69" s="33" t="s">
        <v>13</v>
      </c>
    </row>
    <row r="70" spans="1:6" x14ac:dyDescent="0.25">
      <c r="A70" t="s">
        <v>308</v>
      </c>
      <c r="C70" s="33">
        <f>C68</f>
        <v>7.4</v>
      </c>
      <c r="D70" s="33">
        <v>1.5</v>
      </c>
      <c r="E70" s="90">
        <f>D70*C70</f>
        <v>11.100000000000001</v>
      </c>
      <c r="F70" s="33" t="s">
        <v>13</v>
      </c>
    </row>
    <row r="72" spans="1:6" x14ac:dyDescent="0.25">
      <c r="A72" t="s">
        <v>313</v>
      </c>
      <c r="C72" s="33">
        <f>11.4+11+11.9+10.1</f>
        <v>44.4</v>
      </c>
      <c r="D72" t="s">
        <v>26</v>
      </c>
    </row>
    <row r="73" spans="1:6" x14ac:dyDescent="0.25">
      <c r="A73" t="s">
        <v>308</v>
      </c>
      <c r="C73" s="33">
        <f>C72</f>
        <v>44.4</v>
      </c>
      <c r="D73" s="33">
        <v>0.6</v>
      </c>
      <c r="E73" s="90">
        <f>D73*C73</f>
        <v>26.639999999999997</v>
      </c>
      <c r="F73" s="33" t="s">
        <v>13</v>
      </c>
    </row>
    <row r="75" spans="1:6" x14ac:dyDescent="0.25">
      <c r="A75" t="s">
        <v>314</v>
      </c>
      <c r="C75" s="33">
        <f>4.9+5.6+7+5.4+5.4+5.2</f>
        <v>33.5</v>
      </c>
    </row>
    <row r="76" spans="1:6" x14ac:dyDescent="0.25">
      <c r="A76" t="s">
        <v>308</v>
      </c>
      <c r="C76" s="33">
        <f>C75</f>
        <v>33.5</v>
      </c>
      <c r="D76" s="33">
        <v>0.6</v>
      </c>
      <c r="E76" s="90">
        <f>D76*C76</f>
        <v>20.099999999999998</v>
      </c>
      <c r="F76" s="33" t="s">
        <v>13</v>
      </c>
    </row>
    <row r="78" spans="1:6" x14ac:dyDescent="0.25">
      <c r="A78" t="s">
        <v>315</v>
      </c>
      <c r="C78" s="33">
        <v>12.6</v>
      </c>
      <c r="D78" t="s">
        <v>26</v>
      </c>
    </row>
    <row r="79" spans="1:6" x14ac:dyDescent="0.25">
      <c r="A79" t="s">
        <v>307</v>
      </c>
      <c r="C79" s="33">
        <f>C78</f>
        <v>12.6</v>
      </c>
      <c r="D79" s="33">
        <v>1.5</v>
      </c>
      <c r="E79" s="90">
        <f>C79*D79</f>
        <v>18.899999999999999</v>
      </c>
      <c r="F79" s="33" t="s">
        <v>13</v>
      </c>
    </row>
    <row r="80" spans="1:6" x14ac:dyDescent="0.25">
      <c r="A80" t="s">
        <v>308</v>
      </c>
      <c r="C80" s="33">
        <f>C78</f>
        <v>12.6</v>
      </c>
      <c r="D80" s="33">
        <v>1.5</v>
      </c>
      <c r="E80" s="90">
        <f>D80*C80</f>
        <v>18.899999999999999</v>
      </c>
      <c r="F80" s="33" t="s">
        <v>13</v>
      </c>
    </row>
    <row r="82" spans="1:6" x14ac:dyDescent="0.25">
      <c r="A82" t="s">
        <v>316</v>
      </c>
      <c r="C82" s="33">
        <v>50.95</v>
      </c>
      <c r="D82" t="s">
        <v>26</v>
      </c>
    </row>
    <row r="83" spans="1:6" x14ac:dyDescent="0.25">
      <c r="A83" t="s">
        <v>307</v>
      </c>
      <c r="C83" s="33">
        <f>C82</f>
        <v>50.95</v>
      </c>
      <c r="D83" s="33">
        <v>1.5</v>
      </c>
      <c r="E83" s="90">
        <f>C83*D83</f>
        <v>76.425000000000011</v>
      </c>
      <c r="F83" s="33" t="s">
        <v>13</v>
      </c>
    </row>
    <row r="84" spans="1:6" x14ac:dyDescent="0.25">
      <c r="A84" t="s">
        <v>308</v>
      </c>
      <c r="C84" s="33">
        <f>C82</f>
        <v>50.95</v>
      </c>
      <c r="D84" s="33">
        <v>1.5</v>
      </c>
      <c r="E84" s="90">
        <f>D84*C84</f>
        <v>76.425000000000011</v>
      </c>
      <c r="F84" s="33" t="s">
        <v>13</v>
      </c>
    </row>
    <row r="86" spans="1:6" x14ac:dyDescent="0.25">
      <c r="A86" t="s">
        <v>317</v>
      </c>
      <c r="C86" s="33">
        <f>12.27+12.72+14.32+12.52+12.77+13.22</f>
        <v>77.819999999999993</v>
      </c>
    </row>
    <row r="87" spans="1:6" x14ac:dyDescent="0.25">
      <c r="A87" t="s">
        <v>308</v>
      </c>
      <c r="C87" s="33">
        <f>C86</f>
        <v>77.819999999999993</v>
      </c>
      <c r="D87" s="33">
        <v>1.1000000000000001</v>
      </c>
      <c r="E87" s="90">
        <f>D87*C87</f>
        <v>85.602000000000004</v>
      </c>
      <c r="F87" s="33" t="s">
        <v>13</v>
      </c>
    </row>
    <row r="89" spans="1:6" x14ac:dyDescent="0.25">
      <c r="A89" t="s">
        <v>318</v>
      </c>
      <c r="C89" s="33">
        <v>8.3699999999999992</v>
      </c>
      <c r="D89" t="s">
        <v>26</v>
      </c>
    </row>
    <row r="90" spans="1:6" x14ac:dyDescent="0.25">
      <c r="A90" t="s">
        <v>307</v>
      </c>
      <c r="C90" s="33">
        <f>C89</f>
        <v>8.3699999999999992</v>
      </c>
      <c r="D90" s="33">
        <v>1.5</v>
      </c>
      <c r="E90" s="90">
        <f>C90*D90</f>
        <v>12.555</v>
      </c>
      <c r="F90" s="33" t="s">
        <v>13</v>
      </c>
    </row>
    <row r="91" spans="1:6" x14ac:dyDescent="0.25">
      <c r="A91" t="s">
        <v>308</v>
      </c>
      <c r="C91" s="33">
        <f>C89</f>
        <v>8.3699999999999992</v>
      </c>
      <c r="D91" s="33">
        <v>1.5</v>
      </c>
      <c r="E91" s="90">
        <f>D91*C91</f>
        <v>12.555</v>
      </c>
      <c r="F91" s="33" t="s">
        <v>13</v>
      </c>
    </row>
    <row r="93" spans="1:6" x14ac:dyDescent="0.25">
      <c r="A93" s="93" t="s">
        <v>319</v>
      </c>
      <c r="B93" s="95"/>
      <c r="C93" s="95">
        <f>E91+E87+E84+E80+E76+E73+E70+E66+E62+E58</f>
        <v>328.97200000000004</v>
      </c>
      <c r="D93" s="93" t="s">
        <v>13</v>
      </c>
    </row>
    <row r="95" spans="1:6" ht="15.75" customHeight="1" x14ac:dyDescent="0.25">
      <c r="A95" s="93" t="s">
        <v>320</v>
      </c>
      <c r="B95" s="95"/>
      <c r="C95" s="95">
        <f>E90+E83+E79+E69+E65+E61+E57</f>
        <v>180.48000000000002</v>
      </c>
      <c r="D95" s="93" t="s">
        <v>13</v>
      </c>
    </row>
    <row r="97" spans="1:6" x14ac:dyDescent="0.25">
      <c r="A97" t="s">
        <v>321</v>
      </c>
    </row>
    <row r="99" spans="1:6" x14ac:dyDescent="0.25">
      <c r="A99">
        <v>22</v>
      </c>
      <c r="B99" s="90">
        <v>0.8</v>
      </c>
      <c r="C99" s="33">
        <v>2.1</v>
      </c>
      <c r="D99">
        <v>2</v>
      </c>
      <c r="E99" s="95">
        <f>A99*B99*C99*D99</f>
        <v>73.920000000000016</v>
      </c>
      <c r="F99" s="96" t="s">
        <v>22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cronograma</vt:lpstr>
      <vt:lpstr>Planilha1</vt:lpstr>
      <vt:lpstr>memória de cálculo</vt:lpstr>
      <vt:lpstr>memória cálculo pintura</vt:lpstr>
      <vt:lpstr>cronograma!Area_de_impressao</vt:lpstr>
      <vt:lpstr>'memória de cálculo'!Area_de_impressao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Cibele Aparecida Vieira</cp:lastModifiedBy>
  <cp:lastPrinted>2024-06-11T18:50:23Z</cp:lastPrinted>
  <dcterms:created xsi:type="dcterms:W3CDTF">2022-07-04T16:22:37Z</dcterms:created>
  <dcterms:modified xsi:type="dcterms:W3CDTF">2024-06-19T13:40:22Z</dcterms:modified>
</cp:coreProperties>
</file>