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Licitação\Arquivos compartilhados\Licitações 2024\Saúde\Pregão 77 -2024 - Reforma Posto de Saúde do Bairro Jd. da Serra - 1Doc 10.668-2024\"/>
    </mc:Choice>
  </mc:AlternateContent>
  <xr:revisionPtr revIDLastSave="0" documentId="8_{F7B7978F-F004-4A12-B1BE-1984969682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RONOGRAMA" sheetId="11" r:id="rId1"/>
    <sheet name="PLANILHA" sheetId="1" r:id="rId2"/>
    <sheet name="MEMÓRIA" sheetId="3" r:id="rId3"/>
    <sheet name="PINTURA TOTAL" sheetId="10" r:id="rId4"/>
    <sheet name="pintura" sheetId="9" r:id="rId5"/>
  </sheets>
  <externalReferences>
    <externalReference r:id="rId6"/>
  </externalReferences>
  <definedNames>
    <definedName name="_xlnm.Print_Area" localSheetId="0">CRONOGRAMA!$A$1:$F$33</definedName>
    <definedName name="_xlnm.Print_Area" localSheetId="2">MEMÓRIA!$A$1:$E$11</definedName>
    <definedName name="_xlnm.Print_Area" localSheetId="1">PLANILHA!$A$1:$I$85</definedName>
    <definedName name="brasao">INDEX([1]INFO!$B$47:$D$76,[1]INFO!$F$47,3)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1" l="1"/>
  <c r="B22" i="11"/>
  <c r="B21" i="11"/>
  <c r="B20" i="11"/>
  <c r="B19" i="11"/>
  <c r="B18" i="11"/>
  <c r="B17" i="11"/>
  <c r="B16" i="11"/>
  <c r="B15" i="11"/>
  <c r="H72" i="1" l="1"/>
  <c r="F72" i="1"/>
  <c r="H56" i="1"/>
  <c r="H75" i="1"/>
  <c r="F75" i="1"/>
  <c r="H74" i="1"/>
  <c r="F74" i="1"/>
  <c r="H55" i="1"/>
  <c r="I72" i="1" l="1"/>
  <c r="I75" i="1"/>
  <c r="I74" i="1"/>
  <c r="I73" i="1" s="1"/>
  <c r="C23" i="11" s="1"/>
  <c r="F23" i="11" s="1"/>
  <c r="D52" i="3" l="1"/>
  <c r="D54" i="3" l="1"/>
  <c r="F69" i="1" l="1"/>
  <c r="D57" i="3"/>
  <c r="F70" i="1" s="1"/>
  <c r="D55" i="3"/>
  <c r="F68" i="1" s="1"/>
  <c r="F67" i="1"/>
  <c r="F65" i="1"/>
  <c r="F63" i="1"/>
  <c r="F62" i="1"/>
  <c r="H70" i="1"/>
  <c r="H71" i="1"/>
  <c r="H69" i="1"/>
  <c r="H68" i="1"/>
  <c r="H67" i="1"/>
  <c r="H66" i="1"/>
  <c r="H65" i="1"/>
  <c r="H64" i="1"/>
  <c r="H63" i="1"/>
  <c r="H62" i="1"/>
  <c r="I70" i="1" l="1"/>
  <c r="D51" i="3"/>
  <c r="F64" i="1" s="1"/>
  <c r="D58" i="3"/>
  <c r="F71" i="1" s="1"/>
  <c r="I71" i="1" s="1"/>
  <c r="I68" i="1" l="1"/>
  <c r="I69" i="1"/>
  <c r="I67" i="1"/>
  <c r="D46" i="3" l="1"/>
  <c r="D45" i="3"/>
  <c r="F58" i="1" s="1"/>
  <c r="H60" i="1"/>
  <c r="H59" i="1"/>
  <c r="H58" i="1"/>
  <c r="F59" i="1" l="1"/>
  <c r="I59" i="1" s="1"/>
  <c r="D47" i="3"/>
  <c r="F60" i="1" s="1"/>
  <c r="I60" i="1" s="1"/>
  <c r="I58" i="1"/>
  <c r="D53" i="3" l="1"/>
  <c r="F66" i="1" s="1"/>
  <c r="I57" i="1"/>
  <c r="C21" i="11" s="1"/>
  <c r="D21" i="11" s="1"/>
  <c r="H54" i="1"/>
  <c r="H53" i="1"/>
  <c r="H52" i="1"/>
  <c r="H51" i="1"/>
  <c r="H50" i="1"/>
  <c r="E124" i="10"/>
  <c r="E123" i="10"/>
  <c r="E126" i="10" s="1"/>
  <c r="G126" i="10" s="1"/>
  <c r="D41" i="3" s="1"/>
  <c r="F54" i="1" s="1"/>
  <c r="E122" i="10"/>
  <c r="E117" i="10"/>
  <c r="E116" i="10"/>
  <c r="E115" i="10"/>
  <c r="E114" i="10"/>
  <c r="E119" i="10" s="1"/>
  <c r="G119" i="10" s="1"/>
  <c r="D40" i="3" s="1"/>
  <c r="E109" i="10"/>
  <c r="E108" i="10"/>
  <c r="F106" i="10" s="1"/>
  <c r="D103" i="10"/>
  <c r="F91" i="10"/>
  <c r="F90" i="10"/>
  <c r="F89" i="10"/>
  <c r="F88" i="10"/>
  <c r="F87" i="10"/>
  <c r="F93" i="10" s="1"/>
  <c r="C83" i="10"/>
  <c r="C82" i="10"/>
  <c r="C81" i="10"/>
  <c r="C80" i="10"/>
  <c r="C79" i="10"/>
  <c r="D85" i="10" s="1"/>
  <c r="D64" i="10"/>
  <c r="D39" i="3" s="1"/>
  <c r="F52" i="1" s="1"/>
  <c r="Q69" i="10"/>
  <c r="Q68" i="10"/>
  <c r="L69" i="10"/>
  <c r="L71" i="10" s="1"/>
  <c r="L68" i="10"/>
  <c r="L67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65" i="10" s="1"/>
  <c r="J50" i="10"/>
  <c r="J49" i="10"/>
  <c r="J46" i="10"/>
  <c r="J45" i="10"/>
  <c r="J44" i="10"/>
  <c r="J43" i="10"/>
  <c r="E32" i="10"/>
  <c r="E31" i="10"/>
  <c r="E30" i="10"/>
  <c r="E29" i="10"/>
  <c r="E34" i="10" s="1"/>
  <c r="E28" i="10"/>
  <c r="E27" i="10"/>
  <c r="E23" i="10"/>
  <c r="E22" i="10"/>
  <c r="E21" i="10"/>
  <c r="E20" i="10"/>
  <c r="E19" i="10"/>
  <c r="E25" i="10" s="1"/>
  <c r="F3" i="10"/>
  <c r="F10" i="10"/>
  <c r="F9" i="10"/>
  <c r="F8" i="10"/>
  <c r="F7" i="10"/>
  <c r="K73" i="10" l="1"/>
  <c r="D38" i="3" s="1"/>
  <c r="F51" i="1" s="1"/>
  <c r="E95" i="10"/>
  <c r="E36" i="10"/>
  <c r="F53" i="1"/>
  <c r="I53" i="1" s="1"/>
  <c r="D43" i="3"/>
  <c r="F56" i="1" s="1"/>
  <c r="I56" i="1" s="1"/>
  <c r="I62" i="1"/>
  <c r="I61" i="1" s="1"/>
  <c r="C22" i="11" s="1"/>
  <c r="I66" i="1"/>
  <c r="I65" i="1"/>
  <c r="I63" i="1"/>
  <c r="I64" i="1"/>
  <c r="I52" i="1"/>
  <c r="I54" i="1"/>
  <c r="F12" i="10"/>
  <c r="E14" i="10" s="1"/>
  <c r="D37" i="3" s="1"/>
  <c r="F50" i="1" s="1"/>
  <c r="E22" i="11" l="1"/>
  <c r="D22" i="11"/>
  <c r="D42" i="3"/>
  <c r="F55" i="1" s="1"/>
  <c r="I55" i="1" s="1"/>
  <c r="D35" i="3"/>
  <c r="F48" i="1" s="1"/>
  <c r="H48" i="1" l="1"/>
  <c r="I48" i="1" s="1"/>
  <c r="I47" i="1" s="1"/>
  <c r="C19" i="11" s="1"/>
  <c r="F19" i="11" s="1"/>
  <c r="D32" i="3"/>
  <c r="F45" i="1" s="1"/>
  <c r="D33" i="3"/>
  <c r="F46" i="1" s="1"/>
  <c r="D31" i="3"/>
  <c r="F44" i="1" s="1"/>
  <c r="D30" i="3"/>
  <c r="F43" i="1" s="1"/>
  <c r="D29" i="3"/>
  <c r="F42" i="1" s="1"/>
  <c r="D28" i="3"/>
  <c r="F41" i="1" s="1"/>
  <c r="H44" i="1"/>
  <c r="D27" i="3"/>
  <c r="F40" i="1" s="1"/>
  <c r="D26" i="3"/>
  <c r="F39" i="1" s="1"/>
  <c r="D25" i="3"/>
  <c r="F38" i="1" s="1"/>
  <c r="D24" i="3"/>
  <c r="F37" i="1" s="1"/>
  <c r="H46" i="1"/>
  <c r="H43" i="1"/>
  <c r="H42" i="1"/>
  <c r="H41" i="1"/>
  <c r="H40" i="1"/>
  <c r="H39" i="1"/>
  <c r="H45" i="1"/>
  <c r="H38" i="1"/>
  <c r="H37" i="1"/>
  <c r="D22" i="3"/>
  <c r="F35" i="1" s="1"/>
  <c r="D21" i="3"/>
  <c r="F34" i="1" s="1"/>
  <c r="D20" i="3"/>
  <c r="F33" i="1" s="1"/>
  <c r="D18" i="3"/>
  <c r="F31" i="1" s="1"/>
  <c r="D19" i="3" l="1"/>
  <c r="F32" i="1" s="1"/>
  <c r="I41" i="1"/>
  <c r="I40" i="1"/>
  <c r="I46" i="1"/>
  <c r="I38" i="1"/>
  <c r="I44" i="1"/>
  <c r="I45" i="1"/>
  <c r="I39" i="1"/>
  <c r="I42" i="1"/>
  <c r="I43" i="1"/>
  <c r="I37" i="1"/>
  <c r="H35" i="1"/>
  <c r="H34" i="1"/>
  <c r="H33" i="1"/>
  <c r="H32" i="1"/>
  <c r="H31" i="1"/>
  <c r="D16" i="3"/>
  <c r="F29" i="1" s="1"/>
  <c r="D15" i="3"/>
  <c r="F28" i="1" s="1"/>
  <c r="D14" i="3"/>
  <c r="F27" i="1" s="1"/>
  <c r="D12" i="3"/>
  <c r="D13" i="3" s="1"/>
  <c r="F26" i="1" s="1"/>
  <c r="H29" i="1"/>
  <c r="H28" i="1"/>
  <c r="H27" i="1"/>
  <c r="H26" i="1"/>
  <c r="H25" i="1"/>
  <c r="D6" i="3"/>
  <c r="F19" i="1" s="1"/>
  <c r="D5" i="3"/>
  <c r="F18" i="1" s="1"/>
  <c r="D4" i="3"/>
  <c r="F17" i="1" s="1"/>
  <c r="D3" i="3"/>
  <c r="F16" i="1" s="1"/>
  <c r="H23" i="1"/>
  <c r="H22" i="1"/>
  <c r="H21" i="1"/>
  <c r="H20" i="1"/>
  <c r="H19" i="1"/>
  <c r="H18" i="1"/>
  <c r="H17" i="1"/>
  <c r="H16" i="1"/>
  <c r="F25" i="1" l="1"/>
  <c r="I25" i="1" s="1"/>
  <c r="D7" i="3"/>
  <c r="F20" i="1" s="1"/>
  <c r="I20" i="1" s="1"/>
  <c r="I16" i="1"/>
  <c r="I36" i="1"/>
  <c r="C18" i="11" s="1"/>
  <c r="E18" i="11" s="1"/>
  <c r="I27" i="1"/>
  <c r="I28" i="1"/>
  <c r="I32" i="1"/>
  <c r="I34" i="1"/>
  <c r="I31" i="1"/>
  <c r="I35" i="1"/>
  <c r="I33" i="1"/>
  <c r="I26" i="1"/>
  <c r="I29" i="1"/>
  <c r="D9" i="3"/>
  <c r="F22" i="1" s="1"/>
  <c r="I22" i="1" s="1"/>
  <c r="D10" i="3"/>
  <c r="F23" i="1" s="1"/>
  <c r="I23" i="1" s="1"/>
  <c r="D8" i="3"/>
  <c r="F21" i="1" s="1"/>
  <c r="I21" i="1" s="1"/>
  <c r="I18" i="1"/>
  <c r="I19" i="1"/>
  <c r="I17" i="1"/>
  <c r="I30" i="1" l="1"/>
  <c r="C17" i="11" s="1"/>
  <c r="D17" i="11" s="1"/>
  <c r="I24" i="1"/>
  <c r="C16" i="11" s="1"/>
  <c r="D16" i="11" s="1"/>
  <c r="B16" i="9" l="1"/>
  <c r="B19" i="9" s="1"/>
  <c r="B15" i="9"/>
  <c r="B20" i="9" s="1"/>
  <c r="B7" i="9"/>
  <c r="B3" i="9"/>
  <c r="I51" i="1" l="1"/>
  <c r="I50" i="1" l="1"/>
  <c r="I49" i="1" s="1"/>
  <c r="C20" i="11" s="1"/>
  <c r="I15" i="1"/>
  <c r="C15" i="11" s="1"/>
  <c r="C24" i="11" l="1"/>
  <c r="E15" i="11"/>
  <c r="D15" i="11"/>
  <c r="D24" i="11" s="1"/>
  <c r="F20" i="11"/>
  <c r="F24" i="11" s="1"/>
  <c r="E20" i="11"/>
  <c r="I76" i="1"/>
  <c r="E24" i="11" l="1"/>
</calcChain>
</file>

<file path=xl/sharedStrings.xml><?xml version="1.0" encoding="utf-8"?>
<sst xmlns="http://schemas.openxmlformats.org/spreadsheetml/2006/main" count="594" uniqueCount="248">
  <si>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</si>
  <si>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</si>
  <si>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</si>
  <si>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</si>
  <si>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</si>
  <si>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</si>
  <si>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</si>
  <si>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</si>
  <si>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</si>
  <si>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</si>
  <si>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</si>
  <si>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</si>
  <si>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</si>
  <si>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</si>
  <si>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m2</t>
  </si>
  <si>
    <t>KG</t>
  </si>
  <si>
    <t>2.1</t>
  </si>
  <si>
    <t>2.2</t>
  </si>
  <si>
    <t>2.3</t>
  </si>
  <si>
    <t>2.4</t>
  </si>
  <si>
    <t>2.5</t>
  </si>
  <si>
    <t>M2</t>
  </si>
  <si>
    <t>M3</t>
  </si>
  <si>
    <t>3.</t>
  </si>
  <si>
    <t>3.1</t>
  </si>
  <si>
    <t>3.2</t>
  </si>
  <si>
    <t>4.</t>
  </si>
  <si>
    <t>4.1</t>
  </si>
  <si>
    <t>4.2</t>
  </si>
  <si>
    <t>5.</t>
  </si>
  <si>
    <t>5.1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</si>
  <si>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</si>
  <si>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</si>
  <si>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</si>
  <si>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</si>
  <si>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</si>
  <si>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</si>
  <si>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</si>
  <si>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</si>
  <si>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</si>
  <si>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COBERTURA</t>
  </si>
  <si>
    <t>REFERÊNCIA:</t>
  </si>
  <si>
    <t>Vergas, contravergas e pilaretes de concreto armado</t>
  </si>
  <si>
    <t>14.20.010</t>
  </si>
  <si>
    <t>PINTURA</t>
  </si>
  <si>
    <t>Esmalte à base água em superfície metálica, inclusive preparo</t>
  </si>
  <si>
    <t>33.10.020</t>
  </si>
  <si>
    <t>33.11.050</t>
  </si>
  <si>
    <t>Esmalte à base de água em madeira, inclusive preparo</t>
  </si>
  <si>
    <t>33.12.011</t>
  </si>
  <si>
    <t>TOTAL GERAL COM BDI</t>
  </si>
  <si>
    <t>SECRETÁRIO DE OBRAS E PLANEJAMENTO</t>
  </si>
  <si>
    <t>2.</t>
  </si>
  <si>
    <t>7.2</t>
  </si>
  <si>
    <t>7.3</t>
  </si>
  <si>
    <t>6.7</t>
  </si>
  <si>
    <t>REFERÊNCIA</t>
  </si>
  <si>
    <t>3.3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</si>
  <si>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</si>
  <si>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</si>
  <si>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</si>
  <si>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</si>
  <si>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</si>
  <si>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</si>
  <si>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</si>
  <si>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</si>
  <si>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</si>
  <si>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</si>
  <si>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</si>
  <si>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4.4</t>
  </si>
  <si>
    <t>4.5</t>
  </si>
  <si>
    <t>4.6</t>
  </si>
  <si>
    <t>4.7</t>
  </si>
  <si>
    <t>4.8</t>
  </si>
  <si>
    <t>4.9</t>
  </si>
  <si>
    <t>Esmalte à base de água em massa, inclusive preparo</t>
  </si>
  <si>
    <t>33.10.041</t>
  </si>
  <si>
    <t>AMPLIAÇÃO</t>
  </si>
  <si>
    <t>1º MÊS</t>
  </si>
  <si>
    <t>2º MÊS</t>
  </si>
  <si>
    <t>3º MÊS</t>
  </si>
  <si>
    <t>05.07.040</t>
  </si>
  <si>
    <t>Tinta látex em massa, inclusive preparo</t>
  </si>
  <si>
    <t>total</t>
  </si>
  <si>
    <t>REFORMA DO POSTO DE SAÚDE DO BAIRRO JD. DA SERRA</t>
  </si>
  <si>
    <t>pintura externa</t>
  </si>
  <si>
    <t>laterais</t>
  </si>
  <si>
    <t>24,25 * 3,40 * 2</t>
  </si>
  <si>
    <t>frente</t>
  </si>
  <si>
    <t>fundo</t>
  </si>
  <si>
    <t>pintura interna</t>
  </si>
  <si>
    <t>laje</t>
  </si>
  <si>
    <t>barrado esmalte</t>
  </si>
  <si>
    <t>pintura acrilica</t>
  </si>
  <si>
    <t>63,20 * 2,00 h</t>
  </si>
  <si>
    <t>63,20 * 1,00 h</t>
  </si>
  <si>
    <t>recepção e corredor</t>
  </si>
  <si>
    <t>total acrilica</t>
  </si>
  <si>
    <t>total esmalte</t>
  </si>
  <si>
    <t>LOCAL: AVENIDA SÃO PAULO, 154 - JARDIM DA SERRA</t>
  </si>
  <si>
    <t xml:space="preserve">SINAPI </t>
  </si>
  <si>
    <t>SERVIÇOS FACHADA EXTERNA</t>
  </si>
  <si>
    <t>SINAPI</t>
  </si>
  <si>
    <t>RASGO LINEAR MANUAL EM ALVENARIA, PARA RAMAIS/ DISTRIBUIÇÃO DE INSTALAÇÕES HIDRÁULICAS, DIÂMETROS MENORES OU IGUAIS A 40 MM. AF_09/2023 (DRENO AR CONDICIONADO)</t>
  </si>
  <si>
    <t>TUBO, PVC, SOLDÁVEL, DN 25MM, INSTALADO EM DRENO DE AR-CONDICIONADO - FORNECIMENTO E INSTALAÇÃO. AF_08/2022</t>
  </si>
  <si>
    <t>EMBOÇO OU MASSA ÚNICA EM ARGAMASSA TRAÇO 1:2:8, PREPARO MECÂNICO COM BETONEIRA 400 L, APLICADA MANUALMENTE EM PANOS CEGOS DE FACHADA (SEM PRESENÇA DE VÃOS), ESPESSURA DE 25 MM. AF_08/2022</t>
  </si>
  <si>
    <t>DEMOLIÇÃO DE ARGAMASSAS, DE FORMA MANUAL, SEM REAPROVEITAMENTO. AF_09/2023</t>
  </si>
  <si>
    <t>Remoção de entulho separado de obra com caçamba metálica ‐ terra,
alvenaria, concreto, argamassa, madeira, papel, plástico ou metal</t>
  </si>
  <si>
    <t>IMPERMEABILIZAÇÃO DE SUPERFÍCIE COM ARGAMASSA POLIMÉRICA / MEMBRANA ACRÍLICA, 3 DEMÃOS. AF_09/2023</t>
  </si>
  <si>
    <t>CHAPISCO APLICADO EM ALVENARIA (SEM PRESENÇA DE VÃOS) E ESTRUTURAS DE CONCRETO DE FACHADA, COM COLHER DE PEDREIRO. ARGAMASSA TRAÇO 1:3 COM PREPARO MANUAL. AF_10/2022</t>
  </si>
  <si>
    <t>RASGO PARA EMBUTIR DRENO AR CONDICIONADO -  8 unidades * 3,00 m altura</t>
  </si>
  <si>
    <t>8 unid. * 3,00 m parede + 2,00 m piso</t>
  </si>
  <si>
    <t>8 unid. * 3,00 m * 0,15 m</t>
  </si>
  <si>
    <t>demolição de reboco: 56,50 m perímetro * (1,00 m parte inferior + 1,00 m parte superior)</t>
  </si>
  <si>
    <t>remoção de entulho</t>
  </si>
  <si>
    <t>56,50 m perímetro * (1,00 m parte inferior + 1,00 m parte superior)</t>
  </si>
  <si>
    <t>SERVIÇOS REBOCO PAREDES INTERNAS</t>
  </si>
  <si>
    <t>demolição de reboco: Sala espera 5,45 * 1,50 / secretaria 2,80 * 1,50 + 2,35 * 1,50 / corredor 11,50 *1,50 m</t>
  </si>
  <si>
    <t>Sala espera 5,45 * 1,50 / secretaria 2,80 * 1,50 + 2,35 * 1,50 / corredor 11,50 *1,50 m</t>
  </si>
  <si>
    <t>3.4</t>
  </si>
  <si>
    <t>3.5</t>
  </si>
  <si>
    <t>SERVIÇOS LAJE INTERNA</t>
  </si>
  <si>
    <t>demolição reboco laje: sala espera 17,20 m² + secretaria 3,40 + 2,80 m² + consultórios 9,60 + 2,25 + 3,60 + 1,00 + 2,40 + 3,60 m² + corredor 2,10 m²</t>
  </si>
  <si>
    <t>sala espera 17,20 m² + secretaria 3,40 + 2,80 m² + consultórios 9,60 + 2,25 + 3,60 + 1,00 + 2,40 + 3,60 m² + corredor 2,10 m²</t>
  </si>
  <si>
    <t>CHAPISCO APLICADO NO TETO OU EM ESTRUTURA, COM DESEMPENADEIRA DENTADA ARGAMASSA INDUSTRIALIZADA COM PREPARO MANUAL. AF_10/2022</t>
  </si>
  <si>
    <t>MASSA ÚNICA, PARA RECEBIMENTO DE PINTURA, EM ARGAMASSA TRAÇO 1:2:8, PREPARO MANUAL, APLICADA MANUALMENTE EM TETO, ESPESSURA DE 20MM, COM EXECUÇÃO DE TALISCAS. AF_03/2015</t>
  </si>
  <si>
    <t>ABRIGO DE RESÍDUOS</t>
  </si>
  <si>
    <t>Porta/portão tipo gradil sob medida</t>
  </si>
  <si>
    <t>24.02.040</t>
  </si>
  <si>
    <t>ALVENARIA DE VEDAÇÃO DE BLOCOS CERÂMICOS FURADOS NA VERTICAL DE 14X19X39 CM (ESPESSURA 14 CM) E ARGAMASSA DE ASSENTAMENTO COM PREPARO MANUAL. AF_12/2021</t>
  </si>
  <si>
    <t>EXECUÇÃO DE LAJE SOBRE SOLO, ESPESSURA DE 15 CM, FCK = 30 MPA, COM USO DE FORMAS EM MADEIRA SERRADA. AF_09/2021</t>
  </si>
  <si>
    <t>LAJE PRÉ-MOLDADA UNIDIRECIONAL, BIAPOIADA, PARA FORRO, ENCHIMENTO EM CERÂMICA, VIGOTA CONVENCIONAL, ALTURA TOTAL DA LAJE (ENCHIMENTO+CAPA) = (8+3). AF_11/2020_PA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</si>
  <si>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</si>
  <si>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>REVESTIMENTO CERÂMICO PARA PAREDES INTERNAS COM PLACAS TIPO ESMALTADA EXTRA DE DIMENSÕES 20X20 CM APLICADAS A MEIA ALTURA DAS PAREDES. AF_02/2023_PE</t>
  </si>
  <si>
    <t>4.10</t>
  </si>
  <si>
    <t>3,25 m perímetro * 1,20 altura - abrigo resíduos novo</t>
  </si>
  <si>
    <t>verga inferior e verga superior 3,25 * 0,15 * 0,25 * 2 unidades</t>
  </si>
  <si>
    <t>laje de piso abrigo resíduos</t>
  </si>
  <si>
    <t>laje de forro abrigo resíduos</t>
  </si>
  <si>
    <t>0,80 * 1,20 * 4 (lateriais internas e externas) + 1,45 * 1,10 (parede fundo)  + 1,45 * 0,70 * 3 (laje piso interna e forro interna e externa)</t>
  </si>
  <si>
    <t>0,80 * 1,20 * 2 (lateriais internas) + 1,45 * 1,10 (parede fundo)  + 1,45 * 0,70 * 2 (laje piso interna e forro interna e externa)</t>
  </si>
  <si>
    <t>0,80 * 1,20 * 2 (lateriaisexternas) + 1,45 * 0,70 * 1 (laje forro  externa)</t>
  </si>
  <si>
    <t>portão abrigo novo + portão abrigo existente</t>
  </si>
  <si>
    <t>PORTA CORREDOR INTERNO</t>
  </si>
  <si>
    <t>INSTALAÇÃO DE VIDRO TEMPERADO, E = 8 MM, ENCAIXADO EM PERFIL U. AF_01/2021_PS</t>
  </si>
  <si>
    <t>instalação de bandeira de porta com vidro fixo</t>
  </si>
  <si>
    <t>CHAPISCO APLICADO EM ALVENARIAS E ESTRUTURAS DE CONCRETO INTERNAS, COM COLHER DE PEDREIRO. ARGAMASSA TRAÇO 1:3 COM PREPARO EM BETONEIRA 400 L. AF_10/2022</t>
  </si>
  <si>
    <t>EXTERNA BLOCO EXISTENTE</t>
  </si>
  <si>
    <t>perímetro</t>
  </si>
  <si>
    <t>altura</t>
  </si>
  <si>
    <t>esquadrias</t>
  </si>
  <si>
    <t>total esquadrias</t>
  </si>
  <si>
    <t>área pintura</t>
  </si>
  <si>
    <t>ÁREA TOTAL PINTURA EXTERNA</t>
  </si>
  <si>
    <t>EXTERNA BLOCO NOVO</t>
  </si>
  <si>
    <t>hall área serviço</t>
  </si>
  <si>
    <t>vãos</t>
  </si>
  <si>
    <t>total esquadrias e vãos</t>
  </si>
  <si>
    <t xml:space="preserve">ÁREA TOTAL PINTURA EXTERNA </t>
  </si>
  <si>
    <t>BLOCO EXISTENTE</t>
  </si>
  <si>
    <t>INTERNA BLOCO EXISTENTE</t>
  </si>
  <si>
    <t>LAJE</t>
  </si>
  <si>
    <t>corredor</t>
  </si>
  <si>
    <t>salas</t>
  </si>
  <si>
    <t>pintura laje interna bloco existente</t>
  </si>
  <si>
    <t xml:space="preserve">PAREDES </t>
  </si>
  <si>
    <t>sanitários</t>
  </si>
  <si>
    <t>salas e corredor</t>
  </si>
  <si>
    <t>área pintura interna</t>
  </si>
  <si>
    <t>ÁREA TOTAL PINTURA INTERNA</t>
  </si>
  <si>
    <t>portas</t>
  </si>
  <si>
    <t>pintura interna bloco existente</t>
  </si>
  <si>
    <t>ÁREA TOTAL PINTURA LAJE</t>
  </si>
  <si>
    <t>pintura externa bloco existente</t>
  </si>
  <si>
    <t>PINTURA INTERNA AMPLIAÇÃO</t>
  </si>
  <si>
    <t>PAREDES</t>
  </si>
  <si>
    <t>ESQUADRIAS MADEIRA AMPLIAÇÃO PINTURA</t>
  </si>
  <si>
    <t>pintura portas bloco existente</t>
  </si>
  <si>
    <t>ESQUADRIAS BLOCO EXISTENTE</t>
  </si>
  <si>
    <t>janelas</t>
  </si>
  <si>
    <t>porta aces.</t>
  </si>
  <si>
    <t>portas madeira</t>
  </si>
  <si>
    <t>total portas</t>
  </si>
  <si>
    <t>LUCAS AMADIO POLASTRE</t>
  </si>
  <si>
    <t>ARQUITETO E URBANISTA</t>
  </si>
  <si>
    <t>CAU: A146657-7</t>
  </si>
  <si>
    <t>CRONOGRAMA FÍSICO-FINANCEIRO</t>
  </si>
  <si>
    <t>TOTAL</t>
  </si>
  <si>
    <t>8.</t>
  </si>
  <si>
    <t>SUBSTITUIÇÃO PORTA ENTRADA</t>
  </si>
  <si>
    <t>REMOÇÃO DE PORTAS, DE FORMA MANUAL, SEM REAPROVEITAMENTO. AF_09/2023</t>
  </si>
  <si>
    <t>Porta em ferro de abrir, parte inferior chapeada, parte superior para receber vidro, sob medida</t>
  </si>
  <si>
    <t>24.02.430</t>
  </si>
  <si>
    <t>INSTALAÇÃO DE VIDRO LISO INCOLOR, E = 4 MM, EM ESQUADRIA DE ALUMÍNIO OU PVC, FIXADO COM BAGUETE. AF_01/2021_PS</t>
  </si>
  <si>
    <t>remoção porta entrada</t>
  </si>
  <si>
    <t>instalação de porta nova entrada principal</t>
  </si>
  <si>
    <t>vidro para porta</t>
  </si>
  <si>
    <t>8.1</t>
  </si>
  <si>
    <t>8.2</t>
  </si>
  <si>
    <t>8.3</t>
  </si>
  <si>
    <t>8.4</t>
  </si>
  <si>
    <t>8.5</t>
  </si>
  <si>
    <t>descida água pluvial 3,80 M * 8 UNIDADES + tubo para direcionar água fundo terreno 15 m</t>
  </si>
  <si>
    <t>Remoção de entulho separado de obra com caçamba metálica ‐ terra, alvenaria, concreto, argamassa, madeira, papel, plástico ou metal</t>
  </si>
  <si>
    <t>8.6</t>
  </si>
  <si>
    <t>8.7</t>
  </si>
  <si>
    <t>8.8</t>
  </si>
  <si>
    <t>8.9</t>
  </si>
  <si>
    <t>8.10</t>
  </si>
  <si>
    <t>REMOÇÃO DE TRAMA DE MADEIRA PARA COBERTURA, DE FORMA MANUAL, SEM REAPROVEITAMENTO. AF_09/2023</t>
  </si>
  <si>
    <t>REMOÇÃO CALHAS E RUFOS, DE FORMA MANUAL, SEM REAPROVEITAMENTO. AF_09/2023</t>
  </si>
  <si>
    <t>REMOÇÃO DE TELHAS DE FIBROCIMENTO METÁLICA E CERÂMICA, DE FORMA MANUAL, SEM REAPROVEITAMENTO. AF_09/2023</t>
  </si>
  <si>
    <t>DEMOLIÇÃO DE ALVENARIA DE BLOCO FURADO, DE FORMA MANUAL, SEM REAPROVEITAMENTO. AF_09/2023</t>
  </si>
  <si>
    <t>TELHAMENTO COM TELHA DE AÇO/ALUMÍNIO E = 0,5 MM, COM ATÉ 2 ÁGUAS, INCLUSO IÇAMENTO. AF_07/2019</t>
  </si>
  <si>
    <t>CALHA EM CHAPA DE AÇO GALVANIZADO NÚMERO 24, DESENVOLVIMENTO DE 33 CM, INCLUSO TRANSPORTE VERTICAL. AF_07/2019</t>
  </si>
  <si>
    <t>TUBO PVC, SÉRIE R, ÁGUA PLUVIAL, DN 100 MM, FORNECIDO E INSTALADO EM CONDUTORES VERTICAIS DE ÁGUAS PLUVIAIS. AF_06/2022</t>
  </si>
  <si>
    <t>RUFO EM CHAPA DE AÇO GALVANIZADO NÚMERO 24, CORTE DE 25 CM, INCLUSO TRANSPORTE VERTICAL. AF_07/2019</t>
  </si>
  <si>
    <t>220,49 + 8% inclinação</t>
  </si>
  <si>
    <t>TRAMA DE AÇO COMPOSTA POR TERÇAS PARA TELHADOS DE ATÉ 2 ÁGUAS PARA TELHA ONDULADA DE FIBROCIMENTO, METÁLICA, PLÁSTICA OU TERMOACÚSTICA, INCLUSO TRANSPORTE VERTICAL (EM KG). AF_07/2019</t>
  </si>
  <si>
    <t>220,49 * 10 KG</t>
  </si>
  <si>
    <t>versão 194</t>
  </si>
  <si>
    <t>177,17 área cobertura existente + 8% inclinação</t>
  </si>
  <si>
    <t xml:space="preserve">demolição platibanda (23,95 + 23,95) * 0,80 (h) * 0,15 (e) </t>
  </si>
  <si>
    <t>pintura vitrôs e portas bloco existente</t>
  </si>
  <si>
    <t>Esmalte à base de água em massa, inclusive preparo (pintura interna)</t>
  </si>
  <si>
    <t>Tinta látex em massa, inclusive preparo (laje interna)</t>
  </si>
  <si>
    <t>Esmalte à base água em superfície metálica, inclusive preparo (esquadrias)</t>
  </si>
  <si>
    <t>Esmalte à base de água em madeira, inclusive preparo (portas internas)</t>
  </si>
  <si>
    <t>Massa corrida a base de PVA</t>
  </si>
  <si>
    <t>33.02.060</t>
  </si>
  <si>
    <t>SERVIÇOS COMPLEMENTARES</t>
  </si>
  <si>
    <t>9.</t>
  </si>
  <si>
    <t>9.1</t>
  </si>
  <si>
    <t>9.2</t>
  </si>
  <si>
    <t>Torneira clínica com volante tipo alavanca</t>
  </si>
  <si>
    <t>44.03.300</t>
  </si>
  <si>
    <t>Retirada de torneira ou chuveiro</t>
  </si>
  <si>
    <t>04.11.120</t>
  </si>
  <si>
    <t>SUBSTITUIÇÃO DE TODAS AS TORNEIRAS DOS CONSULTÓRIOS</t>
  </si>
  <si>
    <t>massa corrida em todas paredes internas e externas</t>
  </si>
  <si>
    <t>Tinta acrílica em massa, inclusive preparo (pintura externa)</t>
  </si>
  <si>
    <t>Remoção de pintura em superfícies de madeira e/ou metálicas com lixamento</t>
  </si>
  <si>
    <t>03.10.100</t>
  </si>
  <si>
    <t>remoção da tinta existente nas esquadrias metálicas</t>
  </si>
  <si>
    <t>8.11</t>
  </si>
  <si>
    <t>16.12.220</t>
  </si>
  <si>
    <t>Cumeeira em chapa de aço pré‐pintada com epóxi e poliéster, perfil
ondulado, com espessura de 0,50 mm</t>
  </si>
  <si>
    <t>Tietê, 29 de agosto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</si>
</sst>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2">
    <xf numFmtId="0" fontId="0" fillId="0" borderId="0" xfId="0"/>
    <xf numFmtId="4" fontId="3" fillId="2" borderId="0" xfId="0" applyNumberFormat="1" applyFont="1" applyFill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44" fontId="0" fillId="0" borderId="5" xfId="0" applyNumberFormat="1" applyBorder="1" applyAlignment="1">
      <alignment vertical="center"/>
    </xf>
    <xf numFmtId="49" fontId="2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3" fillId="3" borderId="9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2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3" xfId="1" applyFont="1" applyFill="1" applyBorder="1" applyAlignment="1" applyProtection="1">
      <alignment horizontal="left" vertical="center" wrapText="1"/>
      <protection locked="0"/>
    </xf>
    <xf numFmtId="44" fontId="11" fillId="3" borderId="4" xfId="1" applyFont="1" applyFill="1" applyBorder="1" applyAlignment="1" applyProtection="1">
      <alignment horizontal="righ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8" xfId="1" applyFont="1" applyFill="1" applyBorder="1" applyAlignment="1" applyProtection="1">
      <alignment horizontal="left" vertical="center" wrapText="1"/>
      <protection locked="0"/>
    </xf>
    <xf numFmtId="44" fontId="12" fillId="3" borderId="8" xfId="0" applyNumberFormat="1" applyFont="1" applyFill="1" applyBorder="1" applyAlignment="1">
      <alignment vertical="center"/>
    </xf>
    <xf numFmtId="44" fontId="11" fillId="3" borderId="9" xfId="1" applyFont="1" applyFill="1" applyBorder="1" applyAlignment="1" applyProtection="1">
      <alignment horizontal="right" vertical="center" wrapText="1"/>
      <protection locked="0"/>
    </xf>
    <xf numFmtId="164" fontId="11" fillId="3" borderId="9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4" fontId="5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10" fontId="3" fillId="2" borderId="6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4" fontId="12" fillId="3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12" fillId="4" borderId="1" xfId="0" applyFont="1" applyFill="1" applyBorder="1" applyAlignment="1">
      <alignment vertical="center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17" fontId="3" fillId="3" borderId="7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1" xfId="1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vertical="center" wrapText="1"/>
    </xf>
    <xf numFmtId="0" fontId="12" fillId="5" borderId="8" xfId="0" applyFont="1" applyFill="1" applyBorder="1" applyAlignment="1">
      <alignment vertical="center"/>
    </xf>
    <xf numFmtId="0" fontId="11" fillId="5" borderId="8" xfId="0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2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12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5" fillId="0" borderId="0" xfId="0" applyFont="1"/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4" fontId="0" fillId="0" borderId="1" xfId="0" applyNumberFormat="1" applyBorder="1"/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44" fontId="11" fillId="0" borderId="6" xfId="1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vertical="center"/>
    </xf>
    <xf numFmtId="44" fontId="11" fillId="0" borderId="1" xfId="1" applyFont="1" applyFill="1" applyBorder="1" applyAlignment="1" applyProtection="1">
      <alignment horizontal="right" vertical="center" wrapText="1"/>
      <protection locked="0"/>
    </xf>
    <xf numFmtId="0" fontId="12" fillId="3" borderId="8" xfId="0" applyFont="1" applyFill="1" applyBorder="1" applyAlignment="1">
      <alignment vertical="center" wrapText="1"/>
    </xf>
    <xf numFmtId="44" fontId="0" fillId="0" borderId="0" xfId="0" applyNumberFormat="1" applyAlignment="1">
      <alignment horizontal="center" vertical="center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12" fillId="4" borderId="0" xfId="0" applyFont="1" applyFill="1"/>
    <xf numFmtId="2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5" xfId="1" applyFont="1" applyFill="1" applyBorder="1" applyAlignment="1" applyProtection="1">
      <alignment horizontal="left" vertical="center" wrapText="1"/>
      <protection locked="0"/>
    </xf>
    <xf numFmtId="44" fontId="10" fillId="2" borderId="5" xfId="1" applyFont="1" applyFill="1" applyBorder="1" applyAlignment="1" applyProtection="1">
      <alignment horizontal="right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0" xfId="0" applyAlignment="1">
      <alignment vertical="center" wrapText="1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0" fontId="11" fillId="4" borderId="12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>
      <alignment vertical="center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/>
    <xf numFmtId="44" fontId="0" fillId="0" borderId="0" xfId="0" applyNumberFormat="1" applyAlignment="1">
      <alignment vertical="center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2" fillId="4" borderId="13" xfId="0" applyFont="1" applyFill="1" applyBorder="1" applyAlignment="1">
      <alignment vertical="center"/>
    </xf>
    <xf numFmtId="44" fontId="16" fillId="0" borderId="1" xfId="0" applyNumberFormat="1" applyFont="1" applyBorder="1"/>
    <xf numFmtId="49" fontId="6" fillId="2" borderId="0" xfId="0" applyNumberFormat="1" applyFont="1" applyFill="1" applyAlignment="1">
      <alignment vertical="center"/>
    </xf>
    <xf numFmtId="0" fontId="0" fillId="0" borderId="0" xfId="0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10" xfId="0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9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7A063A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8432" y="1297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8432" y="1297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8432" y="1297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8432" y="1297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86592</xdr:rowOff>
    </xdr:from>
    <xdr:to>
      <xdr:col>5</xdr:col>
      <xdr:colOff>883227</xdr:colOff>
      <xdr:row>4</xdr:row>
      <xdr:rowOff>675896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932" y="86592"/>
          <a:ext cx="7169727" cy="1351304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18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8432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18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8432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18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8432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18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8432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8432" y="184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8432" y="184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8432" y="184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20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8432" y="184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8432" y="2044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8432" y="2044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8432" y="2044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8432" y="2044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8432" y="2344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8432" y="2344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8432" y="2344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8432" y="2344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8432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8432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8432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8432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8432" y="2707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8432" y="2707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8432" y="2707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8432" y="2707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8432" y="2844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8432" y="2844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8432" y="2844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8432" y="2844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8432" y="3100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8432" y="3100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8432" y="3100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8432" y="3100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8432" y="3537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8432" y="3537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8432" y="3537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8432" y="3537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8432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8432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8432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8432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8432" y="378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8432" y="378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8432" y="378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8432" y="378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268432" y="399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68432" y="416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68432" y="452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68432" y="5193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68432" y="5098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3</xdr:col>
      <xdr:colOff>147204</xdr:colOff>
      <xdr:row>14</xdr:row>
      <xdr:rowOff>181841</xdr:rowOff>
    </xdr:from>
    <xdr:to>
      <xdr:col>4</xdr:col>
      <xdr:colOff>1082386</xdr:colOff>
      <xdr:row>14</xdr:row>
      <xdr:rowOff>181842</xdr:rowOff>
    </xdr:to>
    <xdr:cxnSp macro="">
      <xdr:nvCxnSpPr>
        <xdr:cNvPr id="96" name="Conector ret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 flipV="1">
          <a:off x="4390159" y="3749386"/>
          <a:ext cx="2190750" cy="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161059</xdr:colOff>
      <xdr:row>15</xdr:row>
      <xdr:rowOff>187036</xdr:rowOff>
    </xdr:from>
    <xdr:to>
      <xdr:col>3</xdr:col>
      <xdr:colOff>1087582</xdr:colOff>
      <xdr:row>15</xdr:row>
      <xdr:rowOff>195695</xdr:rowOff>
    </xdr:to>
    <xdr:cxnSp macro="">
      <xdr:nvCxnSpPr>
        <xdr:cNvPr id="97" name="Conector reto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 flipV="1">
          <a:off x="4230832" y="4282786"/>
          <a:ext cx="926523" cy="865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183572</xdr:colOff>
      <xdr:row>16</xdr:row>
      <xdr:rowOff>183572</xdr:rowOff>
    </xdr:from>
    <xdr:to>
      <xdr:col>3</xdr:col>
      <xdr:colOff>1110095</xdr:colOff>
      <xdr:row>16</xdr:row>
      <xdr:rowOff>192231</xdr:rowOff>
    </xdr:to>
    <xdr:cxnSp macro="">
      <xdr:nvCxnSpPr>
        <xdr:cNvPr id="98" name="Conector reto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 flipV="1">
          <a:off x="4253345" y="4807527"/>
          <a:ext cx="926523" cy="865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162791</xdr:colOff>
      <xdr:row>17</xdr:row>
      <xdr:rowOff>188769</xdr:rowOff>
    </xdr:from>
    <xdr:to>
      <xdr:col>4</xdr:col>
      <xdr:colOff>1099704</xdr:colOff>
      <xdr:row>17</xdr:row>
      <xdr:rowOff>190500</xdr:rowOff>
    </xdr:to>
    <xdr:cxnSp macro="">
      <xdr:nvCxnSpPr>
        <xdr:cNvPr id="99" name="Conector reto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>
          <a:off x="5661314" y="5340928"/>
          <a:ext cx="936913" cy="173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164522</xdr:colOff>
      <xdr:row>19</xdr:row>
      <xdr:rowOff>155864</xdr:rowOff>
    </xdr:from>
    <xdr:to>
      <xdr:col>5</xdr:col>
      <xdr:colOff>1168977</xdr:colOff>
      <xdr:row>19</xdr:row>
      <xdr:rowOff>164523</xdr:rowOff>
    </xdr:to>
    <xdr:cxnSp macro="">
      <xdr:nvCxnSpPr>
        <xdr:cNvPr id="100" name="Conector reto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5663045" y="6364432"/>
          <a:ext cx="2251364" cy="865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173181</xdr:colOff>
      <xdr:row>20</xdr:row>
      <xdr:rowOff>164522</xdr:rowOff>
    </xdr:from>
    <xdr:to>
      <xdr:col>3</xdr:col>
      <xdr:colOff>1056409</xdr:colOff>
      <xdr:row>20</xdr:row>
      <xdr:rowOff>164523</xdr:rowOff>
    </xdr:to>
    <xdr:cxnSp macro="">
      <xdr:nvCxnSpPr>
        <xdr:cNvPr id="101" name="Conector reto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 flipV="1">
          <a:off x="4242954" y="6901295"/>
          <a:ext cx="883228" cy="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195695</xdr:colOff>
      <xdr:row>21</xdr:row>
      <xdr:rowOff>138546</xdr:rowOff>
    </xdr:from>
    <xdr:to>
      <xdr:col>4</xdr:col>
      <xdr:colOff>1099704</xdr:colOff>
      <xdr:row>21</xdr:row>
      <xdr:rowOff>143743</xdr:rowOff>
    </xdr:to>
    <xdr:cxnSp macro="">
      <xdr:nvCxnSpPr>
        <xdr:cNvPr id="103" name="Conector reto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 flipV="1">
          <a:off x="4438650" y="7403523"/>
          <a:ext cx="2159577" cy="519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226868</xdr:colOff>
      <xdr:row>22</xdr:row>
      <xdr:rowOff>174913</xdr:rowOff>
    </xdr:from>
    <xdr:to>
      <xdr:col>5</xdr:col>
      <xdr:colOff>1110096</xdr:colOff>
      <xdr:row>22</xdr:row>
      <xdr:rowOff>174914</xdr:rowOff>
    </xdr:to>
    <xdr:cxnSp macro="">
      <xdr:nvCxnSpPr>
        <xdr:cNvPr id="104" name="Conector reto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 flipV="1">
          <a:off x="6972300" y="7968095"/>
          <a:ext cx="883228" cy="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142009</xdr:colOff>
      <xdr:row>18</xdr:row>
      <xdr:rowOff>176646</xdr:rowOff>
    </xdr:from>
    <xdr:to>
      <xdr:col>5</xdr:col>
      <xdr:colOff>1078922</xdr:colOff>
      <xdr:row>18</xdr:row>
      <xdr:rowOff>178377</xdr:rowOff>
    </xdr:to>
    <xdr:cxnSp macro="">
      <xdr:nvCxnSpPr>
        <xdr:cNvPr id="120" name="Conector re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CxnSpPr/>
      </xdr:nvCxnSpPr>
      <xdr:spPr>
        <a:xfrm>
          <a:off x="6887441" y="5857010"/>
          <a:ext cx="936913" cy="173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484908</xdr:colOff>
      <xdr:row>0</xdr:row>
      <xdr:rowOff>86591</xdr:rowOff>
    </xdr:from>
    <xdr:to>
      <xdr:col>8</xdr:col>
      <xdr:colOff>233794</xdr:colOff>
      <xdr:row>5</xdr:row>
      <xdr:rowOff>156161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08" y="86591"/>
          <a:ext cx="8087590" cy="1524297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46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68432" y="13482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46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68432" y="13482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46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68432" y="13482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46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68432" y="13482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68432" y="179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68432" y="179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68432" y="179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268432" y="179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68432" y="186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68432" y="186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68432" y="186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68432" y="1866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268432" y="1895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268432" y="1895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268432" y="1895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268432" y="1895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268432" y="2061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268432" y="2061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268432" y="2061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268432" y="20617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268432" y="23604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268432" y="23604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268432" y="23604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268432" y="23604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268432" y="26713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268432" y="26713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268432" y="26713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268432" y="26713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268432" y="27224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268432" y="27224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268432" y="27224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68432" y="27224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268432" y="2859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268432" y="2859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268432" y="2859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268432" y="2859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268432" y="311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268432" y="311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268432" y="311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268432" y="311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26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268432" y="35606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26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268432" y="35606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26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268432" y="35606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26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268432" y="35606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268432" y="3546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268432" y="3546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268432" y="3546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268432" y="3546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268432" y="3792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268432" y="40022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68432" y="41736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68432" y="45330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48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68432" y="45564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56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268432" y="53409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60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68432" y="893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60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268432" y="893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60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68432" y="893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60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268432" y="893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72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268432" y="20141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268432" y="1349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68432" y="1349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268432" y="1349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268432" y="1349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68432" y="8892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268432" y="8892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268432" y="88928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268432" y="13490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268432" y="1335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268432" y="1335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268432" y="1335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22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268432" y="1335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268432" y="1778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268432" y="1778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268432" y="1778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33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268432" y="1778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268432" y="1854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268432" y="1854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268432" y="1854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268432" y="1854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268432" y="188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268432" y="188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268432" y="188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268432" y="1883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68432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68432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268432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268432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268432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268432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268432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268432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268432" y="269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268432" y="269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268432" y="269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268432" y="269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268432" y="2745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268432" y="2745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268432" y="2745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268432" y="2745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268432" y="2882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268432" y="2882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268432" y="2882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268432" y="2882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268432" y="3138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268432" y="3138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268432" y="3138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268432" y="3138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268432" y="3575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268432" y="3575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>
          <a:off x="268432" y="3575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268432" y="3575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268432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>
          <a:off x="268432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268432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268432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268432" y="382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268432" y="382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/>
      </xdr:nvSpPr>
      <xdr:spPr>
        <a:xfrm>
          <a:off x="268432" y="382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268432" y="382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268432" y="403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/>
      </xdr:nvSpPr>
      <xdr:spPr>
        <a:xfrm>
          <a:off x="268432" y="420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268432" y="456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/>
      </xdr:nvSpPr>
      <xdr:spPr>
        <a:xfrm>
          <a:off x="268432" y="5232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268432" y="5136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/>
      </xdr:nvSpPr>
      <xdr:spPr>
        <a:xfrm>
          <a:off x="268432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/>
      </xdr:nvSpPr>
      <xdr:spPr>
        <a:xfrm>
          <a:off x="268432" y="1939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47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/>
      </xdr:nvSpPr>
      <xdr:spPr>
        <a:xfrm>
          <a:off x="268432" y="2097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47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/>
      </xdr:nvSpPr>
      <xdr:spPr>
        <a:xfrm>
          <a:off x="268432" y="2097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47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/>
      </xdr:nvSpPr>
      <xdr:spPr>
        <a:xfrm>
          <a:off x="268432" y="2097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47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/>
      </xdr:nvSpPr>
      <xdr:spPr>
        <a:xfrm>
          <a:off x="268432" y="2097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33"/>
  <sheetViews>
    <sheetView topLeftCell="A22" zoomScale="110" zoomScaleNormal="110" workbookViewId="0">
      <selection activeCell="H29" sqref="H29"/>
    </sheetView>
  </sheetViews>
  <sheetFormatPr defaultRowHeight="15" x14ac:dyDescent="0.25"/>
  <cols>
    <col min="1" max="1" width="6.85546875" style="11" customWidth="1"/>
    <col min="2" max="2" width="37.7109375" style="9" customWidth="1"/>
    <col min="3" max="3" width="19.140625" style="9" customWidth="1"/>
    <col min="4" max="4" width="18.85546875" customWidth="1"/>
    <col min="5" max="6" width="18.7109375" customWidth="1"/>
  </cols>
  <sheetData>
    <row r="5" spans="1:6" ht="54.75" customHeight="1" x14ac:dyDescent="0.25">
      <c r="A5" s="93"/>
      <c r="B5" s="45"/>
      <c r="C5" s="48"/>
      <c r="D5" s="22"/>
    </row>
    <row r="6" spans="1:6" x14ac:dyDescent="0.25">
      <c r="A6" s="93"/>
      <c r="B6" s="45"/>
      <c r="C6" s="49"/>
      <c r="D6" s="23"/>
    </row>
    <row r="7" spans="1:6" x14ac:dyDescent="0.25">
      <c r="A7" s="93"/>
      <c r="B7" s="45"/>
      <c r="C7" s="51"/>
      <c r="D7" s="24"/>
    </row>
    <row r="8" spans="1:6" ht="22.5" customHeight="1" x14ac:dyDescent="0.25">
      <c r="A8" s="139" t="s">
        <v>186</v>
      </c>
      <c r="B8" s="139"/>
      <c r="C8" s="139"/>
      <c r="D8" s="1"/>
    </row>
    <row r="9" spans="1:6" ht="15.75" x14ac:dyDescent="0.25">
      <c r="A9" s="136" t="s">
        <v>84</v>
      </c>
      <c r="B9" s="136"/>
      <c r="C9" s="100"/>
      <c r="D9" s="15"/>
    </row>
    <row r="10" spans="1:6" x14ac:dyDescent="0.25">
      <c r="A10" s="140" t="s">
        <v>99</v>
      </c>
      <c r="B10" s="140"/>
      <c r="C10" s="101"/>
      <c r="D10" s="15"/>
    </row>
    <row r="11" spans="1:6" ht="12" customHeight="1" x14ac:dyDescent="0.25">
      <c r="A11" s="41"/>
      <c r="B11" s="46"/>
      <c r="C11" s="46"/>
      <c r="D11" s="16"/>
    </row>
    <row r="12" spans="1:6" ht="14.25" customHeight="1" x14ac:dyDescent="0.25">
      <c r="A12" s="41"/>
      <c r="B12" s="46"/>
      <c r="C12" s="46"/>
      <c r="D12" s="16"/>
    </row>
    <row r="13" spans="1:6" ht="15" customHeight="1" x14ac:dyDescent="0.25"/>
    <row r="14" spans="1:6" ht="41.25" customHeight="1" x14ac:dyDescent="0.25">
      <c r="A14" s="42" t="s">
        <v>2</v>
      </c>
      <c r="B14" s="42" t="s">
        <v>4</v>
      </c>
      <c r="C14" s="42" t="s">
        <v>9</v>
      </c>
      <c r="D14" s="42" t="s">
        <v>78</v>
      </c>
      <c r="E14" s="42" t="s">
        <v>79</v>
      </c>
      <c r="F14" s="42" t="s">
        <v>80</v>
      </c>
    </row>
    <row r="15" spans="1:6" ht="41.25" customHeight="1" x14ac:dyDescent="0.25">
      <c r="A15" s="103" t="s">
        <v>60</v>
      </c>
      <c r="B15" s="104" t="str">
        <f>PLANILHA!D15</f>
        <v>SERVIÇOS FACHADA EXTERNA</v>
      </c>
      <c r="C15" s="105">
        <f>PLANILHA!I15</f>
        <v>16594.056361489998</v>
      </c>
      <c r="D15" s="102">
        <f>C15/2</f>
        <v>8297.0281807449992</v>
      </c>
      <c r="E15" s="102">
        <f>C15/2</f>
        <v>8297.0281807449992</v>
      </c>
      <c r="F15" s="2"/>
    </row>
    <row r="16" spans="1:6" ht="41.25" customHeight="1" x14ac:dyDescent="0.25">
      <c r="A16" s="106" t="s">
        <v>52</v>
      </c>
      <c r="B16" s="107" t="str">
        <f>PLANILHA!D24</f>
        <v>SERVIÇOS REBOCO PAREDES INTERNAS</v>
      </c>
      <c r="C16" s="108">
        <f>PLANILHA!I24</f>
        <v>4261.0272793724998</v>
      </c>
      <c r="D16" s="102">
        <f>C16</f>
        <v>4261.0272793724998</v>
      </c>
      <c r="E16" s="2"/>
      <c r="F16" s="2"/>
    </row>
    <row r="17" spans="1:6" ht="41.25" customHeight="1" x14ac:dyDescent="0.25">
      <c r="A17" s="106" t="s">
        <v>23</v>
      </c>
      <c r="B17" s="107" t="str">
        <f>PLANILHA!D30</f>
        <v>SERVIÇOS LAJE INTERNA</v>
      </c>
      <c r="C17" s="108">
        <f>PLANILHA!I30</f>
        <v>7888.1209664424987</v>
      </c>
      <c r="D17" s="102">
        <f>C17</f>
        <v>7888.1209664424987</v>
      </c>
      <c r="E17" s="2"/>
      <c r="F17" s="2"/>
    </row>
    <row r="18" spans="1:6" ht="41.25" customHeight="1" x14ac:dyDescent="0.25">
      <c r="A18" s="106" t="s">
        <v>26</v>
      </c>
      <c r="B18" s="107" t="str">
        <f>PLANILHA!D36</f>
        <v>ABRIGO DE RESÍDUOS</v>
      </c>
      <c r="C18" s="108">
        <f>PLANILHA!I36</f>
        <v>6205.6682306762496</v>
      </c>
      <c r="D18" s="2"/>
      <c r="E18" s="102">
        <f>C18</f>
        <v>6205.6682306762496</v>
      </c>
      <c r="F18" s="2"/>
    </row>
    <row r="19" spans="1:6" ht="41.25" customHeight="1" x14ac:dyDescent="0.25">
      <c r="A19" s="106" t="s">
        <v>29</v>
      </c>
      <c r="B19" s="107" t="str">
        <f>PLANILHA!D47</f>
        <v>PORTA CORREDOR INTERNO</v>
      </c>
      <c r="C19" s="108">
        <f>PLANILHA!I47</f>
        <v>591.94159919999981</v>
      </c>
      <c r="D19" s="2"/>
      <c r="E19" s="2"/>
      <c r="F19" s="102">
        <f>C19</f>
        <v>591.94159919999981</v>
      </c>
    </row>
    <row r="20" spans="1:6" ht="41.25" customHeight="1" x14ac:dyDescent="0.25">
      <c r="A20" s="106" t="s">
        <v>31</v>
      </c>
      <c r="B20" s="107" t="str">
        <f>PLANILHA!D49</f>
        <v>PINTURA</v>
      </c>
      <c r="C20" s="108">
        <f>PLANILHA!I49</f>
        <v>63961.781078299995</v>
      </c>
      <c r="D20" s="2"/>
      <c r="E20" s="135">
        <f>C20/2</f>
        <v>31980.890539149997</v>
      </c>
      <c r="F20" s="102">
        <f>C20/2</f>
        <v>31980.890539149997</v>
      </c>
    </row>
    <row r="21" spans="1:6" ht="41.25" customHeight="1" x14ac:dyDescent="0.25">
      <c r="A21" s="106" t="s">
        <v>38</v>
      </c>
      <c r="B21" s="107" t="str">
        <f>PLANILHA!D57</f>
        <v>SUBSTITUIÇÃO PORTA ENTRADA</v>
      </c>
      <c r="C21" s="108">
        <f>PLANILHA!I57</f>
        <v>5057.9064106200003</v>
      </c>
      <c r="D21" s="102">
        <f>C21</f>
        <v>5057.9064106200003</v>
      </c>
      <c r="E21" s="2"/>
      <c r="F21" s="2"/>
    </row>
    <row r="22" spans="1:6" ht="41.25" customHeight="1" x14ac:dyDescent="0.25">
      <c r="A22" s="106" t="s">
        <v>188</v>
      </c>
      <c r="B22" s="107" t="str">
        <f>PLANILHA!D61</f>
        <v>COBERTURA</v>
      </c>
      <c r="C22" s="108">
        <f>PLANILHA!I61</f>
        <v>68232.636968301202</v>
      </c>
      <c r="D22" s="102">
        <f>C22/2</f>
        <v>34116.318484150601</v>
      </c>
      <c r="E22" s="102">
        <f>C22/2</f>
        <v>34116.318484150601</v>
      </c>
      <c r="F22" s="2"/>
    </row>
    <row r="23" spans="1:6" ht="41.25" customHeight="1" x14ac:dyDescent="0.25">
      <c r="A23" s="106" t="s">
        <v>231</v>
      </c>
      <c r="B23" s="107" t="str">
        <f>PLANILHA!D73</f>
        <v>SERVIÇOS COMPLEMENTARES</v>
      </c>
      <c r="C23" s="108">
        <f>PLANILHA!I73</f>
        <v>4266.1199800000004</v>
      </c>
      <c r="D23" s="2"/>
      <c r="E23" s="102"/>
      <c r="F23" s="102">
        <f>C23</f>
        <v>4266.1199800000004</v>
      </c>
    </row>
    <row r="24" spans="1:6" ht="29.25" customHeight="1" x14ac:dyDescent="0.25">
      <c r="A24" s="94"/>
      <c r="B24" s="109" t="s">
        <v>187</v>
      </c>
      <c r="C24" s="21">
        <f>SUM(C15:C23)</f>
        <v>177059.25887440241</v>
      </c>
      <c r="D24" s="57">
        <f>SUM(D15:D23)</f>
        <v>59620.401321330603</v>
      </c>
      <c r="E24" s="57">
        <f>SUM(E15:E23)</f>
        <v>80599.905434721848</v>
      </c>
      <c r="F24" s="57">
        <f>SUM(F15:F23)</f>
        <v>36838.952118349996</v>
      </c>
    </row>
    <row r="26" spans="1:6" x14ac:dyDescent="0.25">
      <c r="C26" s="11"/>
    </row>
    <row r="27" spans="1:6" x14ac:dyDescent="0.25">
      <c r="A27" s="141" t="s">
        <v>247</v>
      </c>
      <c r="B27" s="141"/>
      <c r="C27" s="141"/>
      <c r="D27" s="141"/>
      <c r="E27" s="141"/>
      <c r="F27" s="141"/>
    </row>
    <row r="28" spans="1:6" x14ac:dyDescent="0.25">
      <c r="A28" s="137"/>
      <c r="B28" s="137"/>
      <c r="C28" s="137"/>
      <c r="D28" s="137"/>
      <c r="E28" s="137"/>
      <c r="F28" s="138"/>
    </row>
    <row r="29" spans="1:6" x14ac:dyDescent="0.25">
      <c r="A29" s="137"/>
      <c r="B29" s="137"/>
      <c r="C29" s="137"/>
      <c r="D29" s="137"/>
      <c r="E29" s="137"/>
      <c r="F29" s="137"/>
    </row>
    <row r="30" spans="1:6" x14ac:dyDescent="0.25">
      <c r="A30" s="141" t="s">
        <v>183</v>
      </c>
      <c r="B30" s="141"/>
      <c r="C30" s="141"/>
      <c r="D30" s="141"/>
      <c r="E30" s="141"/>
      <c r="F30" s="141"/>
    </row>
    <row r="31" spans="1:6" x14ac:dyDescent="0.25">
      <c r="A31" s="141" t="s">
        <v>184</v>
      </c>
      <c r="B31" s="141"/>
      <c r="C31" s="141"/>
      <c r="D31" s="141"/>
      <c r="E31" s="141"/>
      <c r="F31" s="141"/>
    </row>
    <row r="32" spans="1:6" x14ac:dyDescent="0.25">
      <c r="A32" s="141" t="s">
        <v>185</v>
      </c>
      <c r="B32" s="141"/>
      <c r="C32" s="141"/>
      <c r="D32" s="141"/>
      <c r="E32" s="141"/>
      <c r="F32" s="141"/>
    </row>
    <row r="33" spans="1:6" x14ac:dyDescent="0.25">
      <c r="A33" s="141" t="s">
        <v>51</v>
      </c>
      <c r="B33" s="141"/>
      <c r="C33" s="141"/>
      <c r="D33" s="141"/>
      <c r="E33" s="141"/>
      <c r="F33" s="141"/>
    </row>
  </sheetData>
  <mergeCells count="7">
    <mergeCell ref="A32:F32"/>
    <mergeCell ref="A33:F33"/>
    <mergeCell ref="A8:C8"/>
    <mergeCell ref="A10:B10"/>
    <mergeCell ref="A27:F27"/>
    <mergeCell ref="A30:F30"/>
    <mergeCell ref="A31:F31"/>
  </mergeCells>
  <conditionalFormatting sqref="A16:A23">
    <cfRule type="expression" dxfId="98" priority="96">
      <formula>IF($F16="I",TRUE,FALSE)</formula>
    </cfRule>
    <cfRule type="expression" dxfId="97" priority="97">
      <formula>IF($F16="T",TRUE,FALSE)</formula>
    </cfRule>
  </conditionalFormatting>
  <conditionalFormatting sqref="A15:B15 C15:C23">
    <cfRule type="expression" dxfId="96" priority="196">
      <formula>IF($F15="I",TRUE,FALSE)</formula>
    </cfRule>
    <cfRule type="expression" dxfId="95" priority="197">
      <formula>IF($F15="T",TRUE,FALSE)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83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85"/>
  <sheetViews>
    <sheetView tabSelected="1" zoomScale="110" zoomScaleNormal="110" workbookViewId="0">
      <selection activeCell="D88" sqref="D88"/>
    </sheetView>
  </sheetViews>
  <sheetFormatPr defaultRowHeight="15" x14ac:dyDescent="0.25"/>
  <cols>
    <col min="1" max="1" width="6.85546875" style="11" customWidth="1"/>
    <col min="2" max="2" width="10.85546875" style="11" bestFit="1" customWidth="1"/>
    <col min="3" max="3" width="10.85546875" style="11" customWidth="1"/>
    <col min="4" max="4" width="55.7109375" style="9" customWidth="1"/>
    <col min="5" max="5" width="9.140625" style="9"/>
    <col min="6" max="6" width="9.140625" style="11"/>
    <col min="7" max="7" width="14.5703125" style="9" customWidth="1"/>
    <col min="8" max="8" width="14.85546875" style="9" customWidth="1"/>
    <col min="9" max="9" width="16.42578125" style="9" customWidth="1"/>
    <col min="11" max="11" width="19.7109375" customWidth="1"/>
  </cols>
  <sheetData>
    <row r="5" spans="1:10" ht="54.75" customHeight="1" x14ac:dyDescent="0.25">
      <c r="A5" s="93"/>
      <c r="B5" s="41"/>
      <c r="C5" s="41"/>
      <c r="D5" s="45"/>
      <c r="E5" s="46"/>
      <c r="F5" s="41"/>
      <c r="G5" s="144"/>
      <c r="H5" s="47"/>
      <c r="I5" s="48"/>
      <c r="J5" s="22"/>
    </row>
    <row r="6" spans="1:10" x14ac:dyDescent="0.25">
      <c r="A6" s="93"/>
      <c r="B6" s="41"/>
      <c r="C6" s="41"/>
      <c r="D6" s="45"/>
      <c r="E6" s="46"/>
      <c r="F6" s="41"/>
      <c r="G6" s="144"/>
      <c r="H6" s="47"/>
      <c r="I6" s="49"/>
      <c r="J6" s="23"/>
    </row>
    <row r="7" spans="1:10" x14ac:dyDescent="0.25">
      <c r="A7" s="93"/>
      <c r="B7" s="41"/>
      <c r="C7" s="41"/>
      <c r="D7" s="45"/>
      <c r="E7" s="46"/>
      <c r="F7" s="41"/>
      <c r="G7" s="144"/>
      <c r="H7" s="50"/>
      <c r="I7" s="51"/>
      <c r="J7" s="24"/>
    </row>
    <row r="8" spans="1:10" ht="22.5" customHeight="1" x14ac:dyDescent="0.25">
      <c r="A8" s="139" t="s">
        <v>58</v>
      </c>
      <c r="B8" s="139"/>
      <c r="C8" s="139"/>
      <c r="D8" s="139"/>
      <c r="E8" s="139"/>
      <c r="F8" s="139"/>
      <c r="G8" s="139"/>
      <c r="H8" s="139"/>
      <c r="I8" s="139"/>
      <c r="J8" s="1"/>
    </row>
    <row r="9" spans="1:10" ht="15.75" x14ac:dyDescent="0.25">
      <c r="A9" s="146" t="s">
        <v>84</v>
      </c>
      <c r="B9" s="146"/>
      <c r="C9" s="146"/>
      <c r="D9" s="146"/>
      <c r="E9" s="146"/>
      <c r="F9" s="147"/>
      <c r="G9" s="145" t="s">
        <v>41</v>
      </c>
      <c r="H9" s="64" t="s">
        <v>100</v>
      </c>
      <c r="I9" s="65">
        <v>45474</v>
      </c>
      <c r="J9" s="15"/>
    </row>
    <row r="10" spans="1:10" x14ac:dyDescent="0.25">
      <c r="A10" s="140" t="s">
        <v>99</v>
      </c>
      <c r="B10" s="140"/>
      <c r="C10" s="140"/>
      <c r="D10" s="140"/>
      <c r="E10" s="140"/>
      <c r="F10" s="148"/>
      <c r="G10" s="145"/>
      <c r="H10" s="66" t="s">
        <v>10</v>
      </c>
      <c r="I10" s="67" t="s">
        <v>220</v>
      </c>
      <c r="J10" s="15"/>
    </row>
    <row r="11" spans="1:10" x14ac:dyDescent="0.25">
      <c r="A11" s="41"/>
      <c r="B11" s="41"/>
      <c r="C11" s="41"/>
      <c r="D11" s="46"/>
      <c r="E11" s="46"/>
      <c r="F11" s="52"/>
      <c r="G11" s="53" t="s">
        <v>1</v>
      </c>
      <c r="H11" s="54">
        <v>0.22470000000000001</v>
      </c>
      <c r="I11" s="46"/>
      <c r="J11" s="16"/>
    </row>
    <row r="12" spans="1:10" x14ac:dyDescent="0.25">
      <c r="A12" s="41"/>
      <c r="B12" s="41"/>
      <c r="C12" s="41"/>
      <c r="D12" s="46"/>
      <c r="E12" s="46"/>
      <c r="F12" s="52"/>
      <c r="G12" s="53" t="s">
        <v>0</v>
      </c>
      <c r="H12" s="55">
        <v>45505</v>
      </c>
      <c r="I12" s="46"/>
      <c r="J12" s="16"/>
    </row>
    <row r="14" spans="1:10" x14ac:dyDescent="0.25">
      <c r="A14" s="42" t="s">
        <v>2</v>
      </c>
      <c r="B14" s="42" t="s">
        <v>3</v>
      </c>
      <c r="C14" s="42" t="s">
        <v>56</v>
      </c>
      <c r="D14" s="56" t="s">
        <v>4</v>
      </c>
      <c r="E14" s="56" t="s">
        <v>5</v>
      </c>
      <c r="F14" s="42" t="s">
        <v>6</v>
      </c>
      <c r="G14" s="56" t="s">
        <v>7</v>
      </c>
      <c r="H14" s="56" t="s">
        <v>8</v>
      </c>
      <c r="I14" s="56" t="s">
        <v>9</v>
      </c>
    </row>
    <row r="15" spans="1:10" ht="24" customHeight="1" x14ac:dyDescent="0.25">
      <c r="A15" s="86" t="s">
        <v>60</v>
      </c>
      <c r="B15" s="28"/>
      <c r="C15" s="28"/>
      <c r="D15" s="29" t="s">
        <v>101</v>
      </c>
      <c r="E15" s="28"/>
      <c r="F15" s="30"/>
      <c r="G15" s="31"/>
      <c r="H15" s="31"/>
      <c r="I15" s="32">
        <f>SUM(I16:I23)</f>
        <v>16594.056361489998</v>
      </c>
    </row>
    <row r="16" spans="1:10" ht="48.75" customHeight="1" x14ac:dyDescent="0.25">
      <c r="A16" s="6" t="s">
        <v>61</v>
      </c>
      <c r="B16" s="68">
        <v>90443</v>
      </c>
      <c r="C16" s="68" t="s">
        <v>102</v>
      </c>
      <c r="D16" s="69" t="s">
        <v>103</v>
      </c>
      <c r="E16" s="68" t="s">
        <v>11</v>
      </c>
      <c r="F16" s="70">
        <f>MEMÓRIA!D3</f>
        <v>24</v>
      </c>
      <c r="G16" s="71">
        <v>10.7</v>
      </c>
      <c r="H16" s="7">
        <f>G16*(1+0.2247)</f>
        <v>13.104289999999999</v>
      </c>
      <c r="I16" s="8">
        <f>H16*F16</f>
        <v>314.50295999999997</v>
      </c>
    </row>
    <row r="17" spans="1:9" ht="36" customHeight="1" x14ac:dyDescent="0.25">
      <c r="A17" s="27" t="s">
        <v>62</v>
      </c>
      <c r="B17" s="68">
        <v>89865</v>
      </c>
      <c r="C17" s="68" t="s">
        <v>102</v>
      </c>
      <c r="D17" s="69" t="s">
        <v>104</v>
      </c>
      <c r="E17" s="68" t="s">
        <v>11</v>
      </c>
      <c r="F17" s="70">
        <f>MEMÓRIA!D4</f>
        <v>40</v>
      </c>
      <c r="G17" s="71">
        <v>20.94</v>
      </c>
      <c r="H17" s="7">
        <f t="shared" ref="H17:H48" si="0">G17*(1+0.2247)</f>
        <v>25.645218</v>
      </c>
      <c r="I17" s="8">
        <f t="shared" ref="I17:I23" si="1">H17*F17</f>
        <v>1025.80872</v>
      </c>
    </row>
    <row r="18" spans="1:9" ht="51" x14ac:dyDescent="0.25">
      <c r="A18" s="27" t="s">
        <v>63</v>
      </c>
      <c r="B18" s="68">
        <v>87792</v>
      </c>
      <c r="C18" s="68" t="s">
        <v>102</v>
      </c>
      <c r="D18" s="69" t="s">
        <v>105</v>
      </c>
      <c r="E18" s="68" t="s">
        <v>21</v>
      </c>
      <c r="F18" s="70">
        <f>MEMÓRIA!D5</f>
        <v>3.5999999999999996</v>
      </c>
      <c r="G18" s="71">
        <v>43.15</v>
      </c>
      <c r="H18" s="7">
        <f t="shared" si="0"/>
        <v>52.845804999999991</v>
      </c>
      <c r="I18" s="8">
        <f t="shared" si="1"/>
        <v>190.24489799999995</v>
      </c>
    </row>
    <row r="19" spans="1:9" ht="25.5" x14ac:dyDescent="0.25">
      <c r="A19" s="43" t="s">
        <v>64</v>
      </c>
      <c r="B19" s="68">
        <v>97631</v>
      </c>
      <c r="C19" s="68" t="s">
        <v>102</v>
      </c>
      <c r="D19" s="69" t="s">
        <v>106</v>
      </c>
      <c r="E19" s="68" t="s">
        <v>21</v>
      </c>
      <c r="F19" s="70">
        <f>MEMÓRIA!D6</f>
        <v>113</v>
      </c>
      <c r="G19" s="71">
        <v>15.11</v>
      </c>
      <c r="H19" s="7">
        <f t="shared" si="0"/>
        <v>18.505216999999998</v>
      </c>
      <c r="I19" s="8">
        <f t="shared" si="1"/>
        <v>2091.0895209999999</v>
      </c>
    </row>
    <row r="20" spans="1:9" ht="32.25" customHeight="1" x14ac:dyDescent="0.25">
      <c r="A20" s="27" t="s">
        <v>65</v>
      </c>
      <c r="B20" s="68" t="s">
        <v>81</v>
      </c>
      <c r="C20" s="68" t="s">
        <v>10</v>
      </c>
      <c r="D20" s="69" t="s">
        <v>107</v>
      </c>
      <c r="E20" s="68" t="s">
        <v>22</v>
      </c>
      <c r="F20" s="70">
        <f>MEMÓRIA!D7</f>
        <v>5.83</v>
      </c>
      <c r="G20" s="71">
        <v>108.49</v>
      </c>
      <c r="H20" s="7">
        <f t="shared" si="0"/>
        <v>132.86770299999998</v>
      </c>
      <c r="I20" s="8">
        <f t="shared" si="1"/>
        <v>774.6187084899999</v>
      </c>
    </row>
    <row r="21" spans="1:9" ht="25.5" x14ac:dyDescent="0.25">
      <c r="A21" s="27" t="s">
        <v>66</v>
      </c>
      <c r="B21" s="68">
        <v>98555</v>
      </c>
      <c r="C21" s="68" t="s">
        <v>102</v>
      </c>
      <c r="D21" s="69" t="s">
        <v>108</v>
      </c>
      <c r="E21" s="68" t="s">
        <v>21</v>
      </c>
      <c r="F21" s="70">
        <f>MEMÓRIA!D8</f>
        <v>113</v>
      </c>
      <c r="G21" s="71">
        <v>36.53</v>
      </c>
      <c r="H21" s="7">
        <f t="shared" si="0"/>
        <v>44.738290999999997</v>
      </c>
      <c r="I21" s="8">
        <f t="shared" si="1"/>
        <v>5055.4268829999992</v>
      </c>
    </row>
    <row r="22" spans="1:9" ht="50.25" customHeight="1" x14ac:dyDescent="0.25">
      <c r="A22" s="43" t="s">
        <v>67</v>
      </c>
      <c r="B22" s="68">
        <v>87893</v>
      </c>
      <c r="C22" s="68" t="s">
        <v>102</v>
      </c>
      <c r="D22" s="69" t="s">
        <v>109</v>
      </c>
      <c r="E22" s="68" t="s">
        <v>21</v>
      </c>
      <c r="F22" s="70">
        <f>MEMÓRIA!D9</f>
        <v>113</v>
      </c>
      <c r="G22" s="71">
        <v>8.4600000000000009</v>
      </c>
      <c r="H22" s="7">
        <f t="shared" si="0"/>
        <v>10.360962000000001</v>
      </c>
      <c r="I22" s="8">
        <f t="shared" si="1"/>
        <v>1170.788706</v>
      </c>
    </row>
    <row r="23" spans="1:9" ht="51" x14ac:dyDescent="0.25">
      <c r="A23" s="43" t="s">
        <v>68</v>
      </c>
      <c r="B23" s="68">
        <v>87792</v>
      </c>
      <c r="C23" s="68" t="s">
        <v>102</v>
      </c>
      <c r="D23" s="69" t="s">
        <v>105</v>
      </c>
      <c r="E23" s="68" t="s">
        <v>21</v>
      </c>
      <c r="F23" s="70">
        <f>MEMÓRIA!D10</f>
        <v>113</v>
      </c>
      <c r="G23" s="71">
        <v>43.15</v>
      </c>
      <c r="H23" s="7">
        <f t="shared" si="0"/>
        <v>52.845804999999991</v>
      </c>
      <c r="I23" s="8">
        <f t="shared" si="1"/>
        <v>5971.5759649999991</v>
      </c>
    </row>
    <row r="24" spans="1:9" x14ac:dyDescent="0.25">
      <c r="A24" s="87" t="s">
        <v>52</v>
      </c>
      <c r="B24" s="33"/>
      <c r="C24" s="33"/>
      <c r="D24" s="34" t="s">
        <v>116</v>
      </c>
      <c r="E24" s="35"/>
      <c r="F24" s="36"/>
      <c r="G24" s="37"/>
      <c r="H24" s="38"/>
      <c r="I24" s="39">
        <f>SUM(I25:I29)</f>
        <v>4261.0272793724998</v>
      </c>
    </row>
    <row r="25" spans="1:9" ht="25.5" x14ac:dyDescent="0.25">
      <c r="A25" s="6" t="s">
        <v>16</v>
      </c>
      <c r="B25" s="68">
        <v>97631</v>
      </c>
      <c r="C25" s="68" t="s">
        <v>102</v>
      </c>
      <c r="D25" s="69" t="s">
        <v>106</v>
      </c>
      <c r="E25" s="68" t="s">
        <v>21</v>
      </c>
      <c r="F25" s="70">
        <f>MEMÓRIA!D12</f>
        <v>33.150000000000006</v>
      </c>
      <c r="G25" s="71">
        <v>15.11</v>
      </c>
      <c r="H25" s="7">
        <f t="shared" si="0"/>
        <v>18.505216999999998</v>
      </c>
      <c r="I25" s="8">
        <f t="shared" ref="I25:I29" si="2">H25*F25</f>
        <v>613.44794354999999</v>
      </c>
    </row>
    <row r="26" spans="1:9" ht="38.25" x14ac:dyDescent="0.25">
      <c r="A26" s="6" t="s">
        <v>17</v>
      </c>
      <c r="B26" s="68" t="s">
        <v>81</v>
      </c>
      <c r="C26" s="68" t="s">
        <v>10</v>
      </c>
      <c r="D26" s="69" t="s">
        <v>107</v>
      </c>
      <c r="E26" s="68" t="s">
        <v>22</v>
      </c>
      <c r="F26" s="70">
        <f>MEMÓRIA!D13</f>
        <v>1.6575000000000004</v>
      </c>
      <c r="G26" s="71">
        <v>108.49</v>
      </c>
      <c r="H26" s="7">
        <f t="shared" si="0"/>
        <v>132.86770299999998</v>
      </c>
      <c r="I26" s="8">
        <f t="shared" si="2"/>
        <v>220.22821772250001</v>
      </c>
    </row>
    <row r="27" spans="1:9" ht="25.5" x14ac:dyDescent="0.25">
      <c r="A27" s="6" t="s">
        <v>18</v>
      </c>
      <c r="B27" s="68">
        <v>98555</v>
      </c>
      <c r="C27" s="68" t="s">
        <v>102</v>
      </c>
      <c r="D27" s="69" t="s">
        <v>108</v>
      </c>
      <c r="E27" s="68" t="s">
        <v>21</v>
      </c>
      <c r="F27" s="70">
        <f>MEMÓRIA!D14</f>
        <v>33.150000000000006</v>
      </c>
      <c r="G27" s="71">
        <v>36.53</v>
      </c>
      <c r="H27" s="7">
        <f t="shared" si="0"/>
        <v>44.738290999999997</v>
      </c>
      <c r="I27" s="8">
        <f t="shared" si="2"/>
        <v>1483.0743466500001</v>
      </c>
    </row>
    <row r="28" spans="1:9" ht="38.25" x14ac:dyDescent="0.25">
      <c r="A28" s="13" t="s">
        <v>19</v>
      </c>
      <c r="B28" s="68">
        <v>87879</v>
      </c>
      <c r="C28" s="68" t="s">
        <v>102</v>
      </c>
      <c r="D28" s="69" t="s">
        <v>146</v>
      </c>
      <c r="E28" s="68" t="s">
        <v>21</v>
      </c>
      <c r="F28" s="70">
        <f>MEMÓRIA!D15</f>
        <v>33.150000000000006</v>
      </c>
      <c r="G28" s="71">
        <v>4.74</v>
      </c>
      <c r="H28" s="7">
        <f t="shared" si="0"/>
        <v>5.805078</v>
      </c>
      <c r="I28" s="8">
        <f t="shared" si="2"/>
        <v>192.43833570000004</v>
      </c>
    </row>
    <row r="29" spans="1:9" ht="51" x14ac:dyDescent="0.25">
      <c r="A29" s="6" t="s">
        <v>20</v>
      </c>
      <c r="B29" s="68">
        <v>87792</v>
      </c>
      <c r="C29" s="68" t="s">
        <v>102</v>
      </c>
      <c r="D29" s="69" t="s">
        <v>105</v>
      </c>
      <c r="E29" s="68" t="s">
        <v>21</v>
      </c>
      <c r="F29" s="70">
        <f>MEMÓRIA!D16</f>
        <v>33.150000000000006</v>
      </c>
      <c r="G29" s="71">
        <v>43.15</v>
      </c>
      <c r="H29" s="7">
        <f t="shared" si="0"/>
        <v>52.845804999999991</v>
      </c>
      <c r="I29" s="8">
        <f t="shared" si="2"/>
        <v>1751.8384357499999</v>
      </c>
    </row>
    <row r="30" spans="1:9" ht="24" customHeight="1" x14ac:dyDescent="0.25">
      <c r="A30" s="87" t="s">
        <v>23</v>
      </c>
      <c r="B30" s="33"/>
      <c r="C30" s="33"/>
      <c r="D30" s="34" t="s">
        <v>121</v>
      </c>
      <c r="E30" s="35"/>
      <c r="F30" s="36"/>
      <c r="G30" s="37"/>
      <c r="H30" s="38"/>
      <c r="I30" s="39">
        <f>SUM(I31:I35)</f>
        <v>7888.1209664424987</v>
      </c>
    </row>
    <row r="31" spans="1:9" ht="24" customHeight="1" x14ac:dyDescent="0.25">
      <c r="A31" s="6" t="s">
        <v>24</v>
      </c>
      <c r="B31" s="68">
        <v>97631</v>
      </c>
      <c r="C31" s="68" t="s">
        <v>102</v>
      </c>
      <c r="D31" s="69" t="s">
        <v>106</v>
      </c>
      <c r="E31" s="68" t="s">
        <v>21</v>
      </c>
      <c r="F31" s="70">
        <f>MEMÓRIA!D18</f>
        <v>47.95</v>
      </c>
      <c r="G31" s="71">
        <v>15.11</v>
      </c>
      <c r="H31" s="7">
        <f t="shared" si="0"/>
        <v>18.505216999999998</v>
      </c>
      <c r="I31" s="8">
        <f t="shared" ref="I31:I35" si="3">H31*F31</f>
        <v>887.32515515</v>
      </c>
    </row>
    <row r="32" spans="1:9" ht="30.75" customHeight="1" x14ac:dyDescent="0.25">
      <c r="A32" s="6" t="s">
        <v>25</v>
      </c>
      <c r="B32" s="68" t="s">
        <v>81</v>
      </c>
      <c r="C32" s="68" t="s">
        <v>10</v>
      </c>
      <c r="D32" s="69" t="s">
        <v>107</v>
      </c>
      <c r="E32" s="68" t="s">
        <v>22</v>
      </c>
      <c r="F32" s="70">
        <f>MEMÓRIA!D19</f>
        <v>2.3975000000000004</v>
      </c>
      <c r="G32" s="71">
        <v>108.49</v>
      </c>
      <c r="H32" s="7">
        <f t="shared" si="0"/>
        <v>132.86770299999998</v>
      </c>
      <c r="I32" s="8">
        <f t="shared" si="3"/>
        <v>318.55031794249999</v>
      </c>
    </row>
    <row r="33" spans="1:11" ht="36.75" customHeight="1" x14ac:dyDescent="0.25">
      <c r="A33" s="6" t="s">
        <v>57</v>
      </c>
      <c r="B33" s="68">
        <v>98555</v>
      </c>
      <c r="C33" s="68" t="s">
        <v>102</v>
      </c>
      <c r="D33" s="69" t="s">
        <v>108</v>
      </c>
      <c r="E33" s="68" t="s">
        <v>21</v>
      </c>
      <c r="F33" s="70">
        <f>MEMÓRIA!D20</f>
        <v>47.95</v>
      </c>
      <c r="G33" s="71">
        <v>36.53</v>
      </c>
      <c r="H33" s="7">
        <f t="shared" si="0"/>
        <v>44.738290999999997</v>
      </c>
      <c r="I33" s="8">
        <f t="shared" si="3"/>
        <v>2145.20105345</v>
      </c>
    </row>
    <row r="34" spans="1:11" ht="49.5" customHeight="1" x14ac:dyDescent="0.25">
      <c r="A34" s="13" t="s">
        <v>119</v>
      </c>
      <c r="B34" s="68">
        <v>87886</v>
      </c>
      <c r="C34" s="68" t="s">
        <v>102</v>
      </c>
      <c r="D34" s="69" t="s">
        <v>124</v>
      </c>
      <c r="E34" s="68" t="s">
        <v>21</v>
      </c>
      <c r="F34" s="70">
        <f>MEMÓRIA!D21</f>
        <v>47.95</v>
      </c>
      <c r="G34" s="71">
        <v>17.97</v>
      </c>
      <c r="H34" s="7">
        <f t="shared" si="0"/>
        <v>22.007858999999996</v>
      </c>
      <c r="I34" s="8">
        <f t="shared" si="3"/>
        <v>1055.2768390499998</v>
      </c>
    </row>
    <row r="35" spans="1:11" ht="60.75" customHeight="1" x14ac:dyDescent="0.25">
      <c r="A35" s="6" t="s">
        <v>120</v>
      </c>
      <c r="B35" s="68">
        <v>90407</v>
      </c>
      <c r="C35" s="68" t="s">
        <v>102</v>
      </c>
      <c r="D35" s="69" t="s">
        <v>125</v>
      </c>
      <c r="E35" s="68" t="s">
        <v>21</v>
      </c>
      <c r="F35" s="70">
        <f>MEMÓRIA!D22</f>
        <v>47.95</v>
      </c>
      <c r="G35" s="71">
        <v>59.29</v>
      </c>
      <c r="H35" s="7">
        <f t="shared" si="0"/>
        <v>72.612462999999991</v>
      </c>
      <c r="I35" s="8">
        <f t="shared" si="3"/>
        <v>3481.7676008499998</v>
      </c>
    </row>
    <row r="36" spans="1:11" ht="23.25" customHeight="1" x14ac:dyDescent="0.25">
      <c r="A36" s="87" t="s">
        <v>26</v>
      </c>
      <c r="B36" s="33"/>
      <c r="C36" s="33"/>
      <c r="D36" s="34" t="s">
        <v>126</v>
      </c>
      <c r="E36" s="35"/>
      <c r="F36" s="36"/>
      <c r="G36" s="37"/>
      <c r="H36" s="38"/>
      <c r="I36" s="39">
        <f>SUM(I37:I46)</f>
        <v>6205.6682306762496</v>
      </c>
    </row>
    <row r="37" spans="1:11" ht="38.25" x14ac:dyDescent="0.25">
      <c r="A37" s="6" t="s">
        <v>27</v>
      </c>
      <c r="B37" s="68">
        <v>103325</v>
      </c>
      <c r="C37" s="68" t="s">
        <v>102</v>
      </c>
      <c r="D37" s="69" t="s">
        <v>129</v>
      </c>
      <c r="E37" s="68" t="s">
        <v>21</v>
      </c>
      <c r="F37" s="70">
        <f>MEMÓRIA!D24</f>
        <v>3.9</v>
      </c>
      <c r="G37" s="71">
        <v>86.34</v>
      </c>
      <c r="H37" s="7">
        <f t="shared" si="0"/>
        <v>105.74059799999999</v>
      </c>
      <c r="I37" s="8">
        <f t="shared" ref="I37:I45" si="4">H37*F37</f>
        <v>412.38833219999998</v>
      </c>
    </row>
    <row r="38" spans="1:11" x14ac:dyDescent="0.25">
      <c r="A38" s="6" t="s">
        <v>28</v>
      </c>
      <c r="B38" s="68" t="s">
        <v>43</v>
      </c>
      <c r="C38" s="68" t="s">
        <v>10</v>
      </c>
      <c r="D38" s="69" t="s">
        <v>42</v>
      </c>
      <c r="E38" s="68" t="s">
        <v>22</v>
      </c>
      <c r="F38" s="70">
        <f>MEMÓRIA!D25</f>
        <v>0.24374999999999999</v>
      </c>
      <c r="G38" s="71">
        <v>1845.01</v>
      </c>
      <c r="H38" s="7">
        <f t="shared" si="0"/>
        <v>2259.5837469999997</v>
      </c>
      <c r="I38" s="8">
        <f t="shared" si="4"/>
        <v>550.77353833124994</v>
      </c>
    </row>
    <row r="39" spans="1:11" ht="25.5" x14ac:dyDescent="0.25">
      <c r="A39" s="6" t="s">
        <v>59</v>
      </c>
      <c r="B39" s="68">
        <v>103077</v>
      </c>
      <c r="C39" s="68" t="s">
        <v>102</v>
      </c>
      <c r="D39" s="69" t="s">
        <v>130</v>
      </c>
      <c r="E39" s="68" t="s">
        <v>21</v>
      </c>
      <c r="F39" s="70">
        <f>MEMÓRIA!D26</f>
        <v>1.32</v>
      </c>
      <c r="G39" s="71">
        <v>177.22</v>
      </c>
      <c r="H39" s="7">
        <f t="shared" si="0"/>
        <v>217.04133399999998</v>
      </c>
      <c r="I39" s="8">
        <f t="shared" ref="I39:I43" si="5">H39*F39</f>
        <v>286.49456087999999</v>
      </c>
    </row>
    <row r="40" spans="1:11" ht="38.25" x14ac:dyDescent="0.25">
      <c r="A40" s="6" t="s">
        <v>69</v>
      </c>
      <c r="B40" s="68">
        <v>101964</v>
      </c>
      <c r="C40" s="68" t="s">
        <v>102</v>
      </c>
      <c r="D40" s="69" t="s">
        <v>131</v>
      </c>
      <c r="E40" s="68" t="s">
        <v>21</v>
      </c>
      <c r="F40" s="70">
        <f>MEMÓRIA!D27</f>
        <v>1.32</v>
      </c>
      <c r="G40" s="71">
        <v>167.77</v>
      </c>
      <c r="H40" s="7">
        <f t="shared" si="0"/>
        <v>205.46791899999999</v>
      </c>
      <c r="I40" s="8">
        <f t="shared" si="5"/>
        <v>271.21765307999999</v>
      </c>
    </row>
    <row r="41" spans="1:11" ht="38.25" x14ac:dyDescent="0.25">
      <c r="A41" s="6" t="s">
        <v>70</v>
      </c>
      <c r="B41" s="68">
        <v>87879</v>
      </c>
      <c r="C41" s="68" t="s">
        <v>102</v>
      </c>
      <c r="D41" s="69" t="s">
        <v>146</v>
      </c>
      <c r="E41" s="68" t="s">
        <v>21</v>
      </c>
      <c r="F41" s="70">
        <f>MEMÓRIA!D28</f>
        <v>8.48</v>
      </c>
      <c r="G41" s="71">
        <v>4.74</v>
      </c>
      <c r="H41" s="7">
        <f t="shared" si="0"/>
        <v>5.805078</v>
      </c>
      <c r="I41" s="8">
        <f t="shared" si="5"/>
        <v>49.22706144</v>
      </c>
    </row>
    <row r="42" spans="1:11" ht="63.75" x14ac:dyDescent="0.25">
      <c r="A42" s="6" t="s">
        <v>71</v>
      </c>
      <c r="B42" s="68">
        <v>87527</v>
      </c>
      <c r="C42" s="68" t="s">
        <v>102</v>
      </c>
      <c r="D42" s="69" t="s">
        <v>132</v>
      </c>
      <c r="E42" s="68" t="s">
        <v>21</v>
      </c>
      <c r="F42" s="70">
        <f>MEMÓRIA!D29</f>
        <v>5.5449999999999999</v>
      </c>
      <c r="G42" s="71">
        <v>42.25</v>
      </c>
      <c r="H42" s="7">
        <f t="shared" si="0"/>
        <v>51.743574999999993</v>
      </c>
      <c r="I42" s="8">
        <f t="shared" si="5"/>
        <v>286.91812337499994</v>
      </c>
    </row>
    <row r="43" spans="1:11" ht="38.25" x14ac:dyDescent="0.25">
      <c r="A43" s="6" t="s">
        <v>72</v>
      </c>
      <c r="B43" s="79">
        <v>87267</v>
      </c>
      <c r="C43" s="80" t="s">
        <v>102</v>
      </c>
      <c r="D43" s="81" t="s">
        <v>133</v>
      </c>
      <c r="E43" s="79" t="s">
        <v>21</v>
      </c>
      <c r="F43" s="82">
        <f>MEMÓRIA!D30</f>
        <v>5.5449999999999999</v>
      </c>
      <c r="G43" s="83">
        <v>83.47</v>
      </c>
      <c r="H43" s="7">
        <f t="shared" si="0"/>
        <v>102.22570899999999</v>
      </c>
      <c r="I43" s="8">
        <f t="shared" si="5"/>
        <v>566.84155640500001</v>
      </c>
    </row>
    <row r="44" spans="1:11" ht="38.25" x14ac:dyDescent="0.25">
      <c r="A44" s="6" t="s">
        <v>73</v>
      </c>
      <c r="B44" s="68">
        <v>90407</v>
      </c>
      <c r="C44" s="68" t="s">
        <v>102</v>
      </c>
      <c r="D44" s="69" t="s">
        <v>125</v>
      </c>
      <c r="E44" s="68" t="s">
        <v>21</v>
      </c>
      <c r="F44" s="70">
        <f>MEMÓRIA!D31</f>
        <v>2.9349999999999996</v>
      </c>
      <c r="G44" s="71">
        <v>59.29</v>
      </c>
      <c r="H44" s="7">
        <f t="shared" si="0"/>
        <v>72.612462999999991</v>
      </c>
      <c r="I44" s="8">
        <f t="shared" ref="I44" si="6">H44*F44</f>
        <v>213.11757890499996</v>
      </c>
    </row>
    <row r="45" spans="1:11" x14ac:dyDescent="0.25">
      <c r="A45" s="6" t="s">
        <v>74</v>
      </c>
      <c r="B45" s="10" t="s">
        <v>128</v>
      </c>
      <c r="C45" s="6" t="s">
        <v>10</v>
      </c>
      <c r="D45" s="3" t="s">
        <v>127</v>
      </c>
      <c r="E45" s="10" t="s">
        <v>21</v>
      </c>
      <c r="F45" s="17">
        <f>MEMÓRIA!D32</f>
        <v>3.19</v>
      </c>
      <c r="G45" s="7">
        <v>883.85</v>
      </c>
      <c r="H45" s="7">
        <f t="shared" si="0"/>
        <v>1082.4510949999999</v>
      </c>
      <c r="I45" s="8">
        <f t="shared" si="4"/>
        <v>3453.0189930499996</v>
      </c>
    </row>
    <row r="46" spans="1:11" x14ac:dyDescent="0.25">
      <c r="A46" s="6" t="s">
        <v>134</v>
      </c>
      <c r="B46" s="10" t="s">
        <v>46</v>
      </c>
      <c r="C46" s="10" t="s">
        <v>10</v>
      </c>
      <c r="D46" s="2" t="s">
        <v>82</v>
      </c>
      <c r="E46" s="10" t="s">
        <v>21</v>
      </c>
      <c r="F46" s="17">
        <f>MEMÓRIA!D33</f>
        <v>2.9349999999999996</v>
      </c>
      <c r="G46" s="7">
        <v>32.18</v>
      </c>
      <c r="H46" s="7">
        <f t="shared" si="0"/>
        <v>39.410845999999999</v>
      </c>
      <c r="I46" s="8">
        <f t="shared" ref="I46" si="7">H46*F46</f>
        <v>115.67083300999998</v>
      </c>
    </row>
    <row r="47" spans="1:11" ht="21.75" customHeight="1" x14ac:dyDescent="0.25">
      <c r="A47" s="87" t="s">
        <v>29</v>
      </c>
      <c r="B47" s="33"/>
      <c r="C47" s="33"/>
      <c r="D47" s="34" t="s">
        <v>143</v>
      </c>
      <c r="E47" s="35"/>
      <c r="F47" s="36"/>
      <c r="G47" s="37"/>
      <c r="H47" s="38"/>
      <c r="I47" s="39">
        <f>I48</f>
        <v>591.94159919999981</v>
      </c>
    </row>
    <row r="48" spans="1:11" ht="38.25" customHeight="1" x14ac:dyDescent="0.25">
      <c r="A48" s="6" t="s">
        <v>30</v>
      </c>
      <c r="B48" s="10">
        <v>102180</v>
      </c>
      <c r="C48" s="10" t="s">
        <v>102</v>
      </c>
      <c r="D48" s="5" t="s">
        <v>144</v>
      </c>
      <c r="E48" s="10" t="s">
        <v>21</v>
      </c>
      <c r="F48" s="17">
        <f>MEMÓRIA!D35</f>
        <v>0.97999999999999987</v>
      </c>
      <c r="G48" s="7">
        <v>493.2</v>
      </c>
      <c r="H48" s="7">
        <f t="shared" si="0"/>
        <v>604.02203999999995</v>
      </c>
      <c r="I48" s="8">
        <f t="shared" ref="I48" si="8">H48*F48</f>
        <v>591.94159919999981</v>
      </c>
      <c r="K48" s="95"/>
    </row>
    <row r="49" spans="1:11" ht="21.75" customHeight="1" x14ac:dyDescent="0.25">
      <c r="A49" s="87" t="s">
        <v>31</v>
      </c>
      <c r="B49" s="33"/>
      <c r="C49" s="33"/>
      <c r="D49" s="34" t="s">
        <v>44</v>
      </c>
      <c r="E49" s="35"/>
      <c r="F49" s="36"/>
      <c r="G49" s="37"/>
      <c r="H49" s="38"/>
      <c r="I49" s="40">
        <f>SUM(I50:I56)</f>
        <v>63961.781078299995</v>
      </c>
    </row>
    <row r="50" spans="1:11" x14ac:dyDescent="0.25">
      <c r="A50" s="10" t="s">
        <v>32</v>
      </c>
      <c r="B50" s="10" t="s">
        <v>46</v>
      </c>
      <c r="C50" s="10" t="s">
        <v>10</v>
      </c>
      <c r="D50" s="2" t="s">
        <v>240</v>
      </c>
      <c r="E50" s="10" t="s">
        <v>21</v>
      </c>
      <c r="F50" s="17">
        <f>MEMÓRIA!D37</f>
        <v>210</v>
      </c>
      <c r="G50" s="7">
        <v>33.58</v>
      </c>
      <c r="H50" s="7">
        <f t="shared" ref="H50:H55" si="9">G50*(1+0.2247)</f>
        <v>41.125425999999997</v>
      </c>
      <c r="I50" s="7">
        <f>H50*F50</f>
        <v>8636.3394599999992</v>
      </c>
    </row>
    <row r="51" spans="1:11" ht="30" x14ac:dyDescent="0.25">
      <c r="A51" s="12" t="s">
        <v>33</v>
      </c>
      <c r="B51" s="11" t="s">
        <v>76</v>
      </c>
      <c r="C51" s="12" t="s">
        <v>10</v>
      </c>
      <c r="D51" s="3" t="s">
        <v>224</v>
      </c>
      <c r="E51" s="10" t="s">
        <v>21</v>
      </c>
      <c r="F51" s="25">
        <f>MEMÓRIA!D38</f>
        <v>579.08999999999992</v>
      </c>
      <c r="G51" s="14">
        <v>36.07</v>
      </c>
      <c r="H51" s="7">
        <f t="shared" si="9"/>
        <v>44.174928999999999</v>
      </c>
      <c r="I51" s="14">
        <f>H51*F51</f>
        <v>25581.259634609996</v>
      </c>
    </row>
    <row r="52" spans="1:11" x14ac:dyDescent="0.25">
      <c r="A52" s="10" t="s">
        <v>34</v>
      </c>
      <c r="B52" s="10" t="s">
        <v>46</v>
      </c>
      <c r="C52" s="10" t="s">
        <v>10</v>
      </c>
      <c r="D52" s="2" t="s">
        <v>225</v>
      </c>
      <c r="E52" s="10" t="s">
        <v>21</v>
      </c>
      <c r="F52" s="17">
        <f>MEMÓRIA!D39</f>
        <v>170.23000000000002</v>
      </c>
      <c r="G52" s="7">
        <v>32.18</v>
      </c>
      <c r="H52" s="7">
        <f t="shared" si="9"/>
        <v>39.410845999999999</v>
      </c>
      <c r="I52" s="7">
        <f>H52*F52</f>
        <v>6708.9083145800005</v>
      </c>
    </row>
    <row r="53" spans="1:11" ht="30" x14ac:dyDescent="0.25">
      <c r="A53" s="10" t="s">
        <v>35</v>
      </c>
      <c r="B53" s="10" t="s">
        <v>47</v>
      </c>
      <c r="C53" s="12" t="s">
        <v>10</v>
      </c>
      <c r="D53" s="3" t="s">
        <v>226</v>
      </c>
      <c r="E53" s="10" t="s">
        <v>21</v>
      </c>
      <c r="F53" s="17">
        <f>MEMÓRIA!D40</f>
        <v>54.599999999999994</v>
      </c>
      <c r="G53" s="7">
        <v>48.9</v>
      </c>
      <c r="H53" s="7">
        <f t="shared" si="9"/>
        <v>59.887829999999994</v>
      </c>
      <c r="I53" s="7">
        <f t="shared" ref="I53:I54" si="10">H53*F53</f>
        <v>3269.8755179999994</v>
      </c>
    </row>
    <row r="54" spans="1:11" ht="30" x14ac:dyDescent="0.25">
      <c r="A54" s="10" t="s">
        <v>36</v>
      </c>
      <c r="B54" s="10" t="s">
        <v>49</v>
      </c>
      <c r="C54" s="10" t="s">
        <v>10</v>
      </c>
      <c r="D54" s="3" t="s">
        <v>227</v>
      </c>
      <c r="E54" s="10" t="s">
        <v>21</v>
      </c>
      <c r="F54" s="17">
        <f>MEMÓRIA!D41</f>
        <v>68.040000000000006</v>
      </c>
      <c r="G54" s="7">
        <v>49.29</v>
      </c>
      <c r="H54" s="7">
        <f t="shared" si="9"/>
        <v>60.365462999999991</v>
      </c>
      <c r="I54" s="7">
        <f t="shared" si="10"/>
        <v>4107.2661025199995</v>
      </c>
      <c r="K54" s="88"/>
    </row>
    <row r="55" spans="1:11" x14ac:dyDescent="0.25">
      <c r="A55" s="10" t="s">
        <v>37</v>
      </c>
      <c r="B55" s="10" t="s">
        <v>229</v>
      </c>
      <c r="C55" s="10" t="s">
        <v>10</v>
      </c>
      <c r="D55" s="3" t="s">
        <v>228</v>
      </c>
      <c r="E55" s="10" t="s">
        <v>21</v>
      </c>
      <c r="F55" s="17">
        <f>MEMÓRIA!D42</f>
        <v>789.08999999999992</v>
      </c>
      <c r="G55" s="7">
        <v>15.53</v>
      </c>
      <c r="H55" s="7">
        <f t="shared" si="9"/>
        <v>19.019590999999998</v>
      </c>
      <c r="I55" s="7">
        <f>H55*F55</f>
        <v>15008.169062189998</v>
      </c>
      <c r="K55" s="88"/>
    </row>
    <row r="56" spans="1:11" ht="30" x14ac:dyDescent="0.25">
      <c r="A56" s="10" t="s">
        <v>55</v>
      </c>
      <c r="B56" s="10" t="s">
        <v>242</v>
      </c>
      <c r="C56" s="10" t="s">
        <v>10</v>
      </c>
      <c r="D56" s="3" t="s">
        <v>241</v>
      </c>
      <c r="E56" s="10" t="s">
        <v>21</v>
      </c>
      <c r="F56" s="17">
        <f>MEMÓRIA!D43</f>
        <v>54.599999999999994</v>
      </c>
      <c r="G56" s="7">
        <v>9.7200000000000006</v>
      </c>
      <c r="H56" s="7">
        <f t="shared" ref="H56" si="11">G56*(1+0.2247)</f>
        <v>11.904083999999999</v>
      </c>
      <c r="I56" s="7">
        <f>H56*F56</f>
        <v>649.96298639999986</v>
      </c>
      <c r="K56" s="88"/>
    </row>
    <row r="57" spans="1:11" ht="19.5" customHeight="1" x14ac:dyDescent="0.25">
      <c r="A57" s="87" t="s">
        <v>38</v>
      </c>
      <c r="B57" s="33"/>
      <c r="C57" s="33"/>
      <c r="D57" s="34" t="s">
        <v>189</v>
      </c>
      <c r="E57" s="35"/>
      <c r="F57" s="36"/>
      <c r="G57" s="37"/>
      <c r="H57" s="38"/>
      <c r="I57" s="40">
        <f>SUM(I58:I60)</f>
        <v>5057.9064106200003</v>
      </c>
      <c r="K57" s="88"/>
    </row>
    <row r="58" spans="1:11" ht="30" x14ac:dyDescent="0.25">
      <c r="A58" s="10" t="s">
        <v>39</v>
      </c>
      <c r="B58" s="10">
        <v>97644</v>
      </c>
      <c r="C58" s="10" t="s">
        <v>102</v>
      </c>
      <c r="D58" s="3" t="s">
        <v>190</v>
      </c>
      <c r="E58" s="10" t="s">
        <v>21</v>
      </c>
      <c r="F58" s="17">
        <f>MEMÓRIA!D45</f>
        <v>2.52</v>
      </c>
      <c r="G58" s="7">
        <v>12.59</v>
      </c>
      <c r="H58" s="7">
        <f t="shared" ref="H58:H71" si="12">G58*(1+0.2247)</f>
        <v>15.418972999999999</v>
      </c>
      <c r="I58" s="7">
        <f t="shared" ref="I58:I60" si="13">H58*F58</f>
        <v>38.855811959999997</v>
      </c>
      <c r="K58" s="88"/>
    </row>
    <row r="59" spans="1:11" ht="30" x14ac:dyDescent="0.25">
      <c r="A59" s="10" t="s">
        <v>53</v>
      </c>
      <c r="B59" s="10" t="s">
        <v>192</v>
      </c>
      <c r="C59" s="10" t="s">
        <v>10</v>
      </c>
      <c r="D59" s="3" t="s">
        <v>191</v>
      </c>
      <c r="E59" s="10" t="s">
        <v>21</v>
      </c>
      <c r="F59" s="17">
        <f>MEMÓRIA!D46</f>
        <v>2.52</v>
      </c>
      <c r="G59" s="7">
        <v>1468.21</v>
      </c>
      <c r="H59" s="7">
        <f t="shared" si="12"/>
        <v>1798.1167869999999</v>
      </c>
      <c r="I59" s="7">
        <f t="shared" si="13"/>
        <v>4531.2543032399999</v>
      </c>
      <c r="K59" s="88"/>
    </row>
    <row r="60" spans="1:11" ht="45" x14ac:dyDescent="0.25">
      <c r="A60" s="10" t="s">
        <v>54</v>
      </c>
      <c r="B60" s="10">
        <v>102162</v>
      </c>
      <c r="C60" s="10" t="s">
        <v>102</v>
      </c>
      <c r="D60" s="3" t="s">
        <v>193</v>
      </c>
      <c r="E60" s="10" t="s">
        <v>21</v>
      </c>
      <c r="F60" s="17">
        <f>MEMÓRIA!D47</f>
        <v>1.26</v>
      </c>
      <c r="G60" s="7">
        <v>316.11</v>
      </c>
      <c r="H60" s="7">
        <f t="shared" si="12"/>
        <v>387.13991699999997</v>
      </c>
      <c r="I60" s="7">
        <f t="shared" si="13"/>
        <v>487.79629541999998</v>
      </c>
      <c r="K60" s="88"/>
    </row>
    <row r="61" spans="1:11" ht="23.25" customHeight="1" x14ac:dyDescent="0.25">
      <c r="A61" s="87" t="s">
        <v>188</v>
      </c>
      <c r="B61" s="33"/>
      <c r="C61" s="33"/>
      <c r="D61" s="34" t="s">
        <v>40</v>
      </c>
      <c r="E61" s="35"/>
      <c r="F61" s="36"/>
      <c r="G61" s="37"/>
      <c r="H61" s="38"/>
      <c r="I61" s="39">
        <f>SUM(I62:I72)</f>
        <v>68232.636968301202</v>
      </c>
    </row>
    <row r="62" spans="1:11" ht="35.25" customHeight="1" x14ac:dyDescent="0.25">
      <c r="A62" s="27" t="s">
        <v>197</v>
      </c>
      <c r="B62" s="10">
        <v>97650</v>
      </c>
      <c r="C62" s="10" t="s">
        <v>102</v>
      </c>
      <c r="D62" s="5" t="s">
        <v>209</v>
      </c>
      <c r="E62" s="13" t="s">
        <v>21</v>
      </c>
      <c r="F62" s="115">
        <f>MEMÓRIA!D49</f>
        <v>191.35</v>
      </c>
      <c r="G62" s="116">
        <v>10.14</v>
      </c>
      <c r="H62" s="7">
        <f t="shared" si="12"/>
        <v>12.418457999999999</v>
      </c>
      <c r="I62" s="117">
        <f t="shared" ref="I62:I66" si="14">H62*F62</f>
        <v>2376.2719382999999</v>
      </c>
    </row>
    <row r="63" spans="1:11" ht="35.25" customHeight="1" x14ac:dyDescent="0.25">
      <c r="A63" s="27" t="s">
        <v>198</v>
      </c>
      <c r="B63" s="10">
        <v>104803</v>
      </c>
      <c r="C63" s="10" t="s">
        <v>102</v>
      </c>
      <c r="D63" s="5" t="s">
        <v>210</v>
      </c>
      <c r="E63" s="6" t="s">
        <v>11</v>
      </c>
      <c r="F63" s="118">
        <f>MEMÓRIA!D50</f>
        <v>69.900000000000006</v>
      </c>
      <c r="G63" s="119">
        <v>5.97</v>
      </c>
      <c r="H63" s="7">
        <f t="shared" si="12"/>
        <v>7.3114589999999993</v>
      </c>
      <c r="I63" s="8">
        <f t="shared" si="14"/>
        <v>511.07098409999998</v>
      </c>
    </row>
    <row r="64" spans="1:11" ht="44.25" customHeight="1" x14ac:dyDescent="0.25">
      <c r="A64" s="27" t="s">
        <v>199</v>
      </c>
      <c r="B64" s="10">
        <v>97647</v>
      </c>
      <c r="C64" s="10" t="s">
        <v>102</v>
      </c>
      <c r="D64" s="5" t="s">
        <v>211</v>
      </c>
      <c r="E64" s="6" t="s">
        <v>21</v>
      </c>
      <c r="F64" s="118">
        <f>MEMÓRIA!D51</f>
        <v>191.35</v>
      </c>
      <c r="G64" s="119">
        <v>4.6900000000000004</v>
      </c>
      <c r="H64" s="7">
        <f t="shared" si="12"/>
        <v>5.743843</v>
      </c>
      <c r="I64" s="8">
        <f t="shared" si="14"/>
        <v>1099.08435805</v>
      </c>
    </row>
    <row r="65" spans="1:9" ht="37.5" customHeight="1" x14ac:dyDescent="0.25">
      <c r="A65" s="27" t="s">
        <v>200</v>
      </c>
      <c r="B65" s="11">
        <v>97622</v>
      </c>
      <c r="C65" s="10" t="s">
        <v>102</v>
      </c>
      <c r="D65" s="122" t="s">
        <v>212</v>
      </c>
      <c r="E65" s="13" t="s">
        <v>22</v>
      </c>
      <c r="F65" s="115">
        <f>MEMÓRIA!D52</f>
        <v>5.7480000000000002</v>
      </c>
      <c r="G65" s="116">
        <v>75.7</v>
      </c>
      <c r="H65" s="7">
        <f t="shared" si="12"/>
        <v>92.709789999999998</v>
      </c>
      <c r="I65" s="117">
        <f>H65*F65</f>
        <v>532.89587291999999</v>
      </c>
    </row>
    <row r="66" spans="1:9" ht="48.75" customHeight="1" x14ac:dyDescent="0.25">
      <c r="A66" s="27" t="s">
        <v>201</v>
      </c>
      <c r="B66" s="10" t="s">
        <v>81</v>
      </c>
      <c r="C66" s="10" t="s">
        <v>10</v>
      </c>
      <c r="D66" s="5" t="s">
        <v>203</v>
      </c>
      <c r="E66" s="13" t="s">
        <v>22</v>
      </c>
      <c r="F66" s="115">
        <f>MEMÓRIA!D53</f>
        <v>29.367600000000003</v>
      </c>
      <c r="G66" s="116">
        <v>108.49</v>
      </c>
      <c r="H66" s="7">
        <f t="shared" si="12"/>
        <v>132.86770299999998</v>
      </c>
      <c r="I66" s="117">
        <f t="shared" si="14"/>
        <v>3902.0055546227995</v>
      </c>
    </row>
    <row r="67" spans="1:9" ht="60" x14ac:dyDescent="0.25">
      <c r="A67" s="6" t="s">
        <v>204</v>
      </c>
      <c r="B67" s="10">
        <v>104314</v>
      </c>
      <c r="C67" s="6" t="s">
        <v>102</v>
      </c>
      <c r="D67" s="5" t="s">
        <v>218</v>
      </c>
      <c r="E67" s="10" t="s">
        <v>21</v>
      </c>
      <c r="F67" s="17">
        <f>MEMÓRIA!D54</f>
        <v>2204.9</v>
      </c>
      <c r="G67" s="7">
        <v>11.17</v>
      </c>
      <c r="H67" s="7">
        <f t="shared" si="12"/>
        <v>13.679898999999999</v>
      </c>
      <c r="I67" s="7">
        <f t="shared" ref="I67:I72" si="15">H67*F67</f>
        <v>30162.8093051</v>
      </c>
    </row>
    <row r="68" spans="1:9" ht="30" x14ac:dyDescent="0.25">
      <c r="A68" s="6" t="s">
        <v>205</v>
      </c>
      <c r="B68" s="10">
        <v>94213</v>
      </c>
      <c r="C68" s="6" t="s">
        <v>102</v>
      </c>
      <c r="D68" s="5" t="s">
        <v>213</v>
      </c>
      <c r="E68" s="10" t="s">
        <v>21</v>
      </c>
      <c r="F68" s="17">
        <f>MEMÓRIA!D55</f>
        <v>238.12920000000003</v>
      </c>
      <c r="G68" s="7">
        <v>66.66</v>
      </c>
      <c r="H68" s="7">
        <f t="shared" si="12"/>
        <v>81.638501999999988</v>
      </c>
      <c r="I68" s="7">
        <f t="shared" si="15"/>
        <v>19440.511170458398</v>
      </c>
    </row>
    <row r="69" spans="1:9" ht="45" x14ac:dyDescent="0.25">
      <c r="A69" s="6" t="s">
        <v>206</v>
      </c>
      <c r="B69" s="10">
        <v>94227</v>
      </c>
      <c r="C69" s="6" t="s">
        <v>102</v>
      </c>
      <c r="D69" s="5" t="s">
        <v>214</v>
      </c>
      <c r="E69" s="10" t="s">
        <v>11</v>
      </c>
      <c r="F69" s="17">
        <f>MEMÓRIA!D56</f>
        <v>47.9</v>
      </c>
      <c r="G69" s="7">
        <v>68.66</v>
      </c>
      <c r="H69" s="7">
        <f t="shared" si="12"/>
        <v>84.087901999999985</v>
      </c>
      <c r="I69" s="7">
        <f t="shared" si="15"/>
        <v>4027.8105057999992</v>
      </c>
    </row>
    <row r="70" spans="1:9" ht="30" x14ac:dyDescent="0.25">
      <c r="A70" s="13" t="s">
        <v>207</v>
      </c>
      <c r="B70" s="10">
        <v>94231</v>
      </c>
      <c r="C70" s="6" t="s">
        <v>102</v>
      </c>
      <c r="D70" s="5" t="s">
        <v>216</v>
      </c>
      <c r="E70" s="10" t="s">
        <v>11</v>
      </c>
      <c r="F70" s="17">
        <f>MEMÓRIA!D57</f>
        <v>23</v>
      </c>
      <c r="G70" s="7">
        <v>55.63</v>
      </c>
      <c r="H70" s="7">
        <f t="shared" ref="H70" si="16">G70*(1+0.2247)</f>
        <v>68.130060999999998</v>
      </c>
      <c r="I70" s="7">
        <f t="shared" si="15"/>
        <v>1566.991403</v>
      </c>
    </row>
    <row r="71" spans="1:9" ht="51" customHeight="1" x14ac:dyDescent="0.25">
      <c r="A71" s="13" t="s">
        <v>208</v>
      </c>
      <c r="B71" s="11">
        <v>89578</v>
      </c>
      <c r="C71" s="13" t="s">
        <v>10</v>
      </c>
      <c r="D71" s="122" t="s">
        <v>215</v>
      </c>
      <c r="E71" s="12" t="s">
        <v>11</v>
      </c>
      <c r="F71" s="25">
        <f>MEMÓRIA!D58</f>
        <v>45.4</v>
      </c>
      <c r="G71" s="14">
        <v>32.119999999999997</v>
      </c>
      <c r="H71" s="7">
        <f t="shared" si="12"/>
        <v>39.337363999999994</v>
      </c>
      <c r="I71" s="14">
        <f t="shared" si="15"/>
        <v>1785.9163255999997</v>
      </c>
    </row>
    <row r="72" spans="1:9" ht="34.5" customHeight="1" x14ac:dyDescent="0.25">
      <c r="A72" s="13" t="s">
        <v>244</v>
      </c>
      <c r="B72" s="133" t="s">
        <v>245</v>
      </c>
      <c r="C72" s="133" t="s">
        <v>10</v>
      </c>
      <c r="D72" s="81" t="s">
        <v>246</v>
      </c>
      <c r="E72" s="68" t="s">
        <v>11</v>
      </c>
      <c r="F72" s="25">
        <f>MEMÓRIA!D59</f>
        <v>23.95</v>
      </c>
      <c r="G72" s="14">
        <v>96.39</v>
      </c>
      <c r="H72" s="7">
        <f t="shared" ref="H72" si="17">G72*(1+0.2247)</f>
        <v>118.04883299999999</v>
      </c>
      <c r="I72" s="14">
        <f t="shared" si="15"/>
        <v>2827.2695503499995</v>
      </c>
    </row>
    <row r="73" spans="1:9" ht="21" customHeight="1" x14ac:dyDescent="0.25">
      <c r="A73" s="87" t="s">
        <v>231</v>
      </c>
      <c r="B73" s="33"/>
      <c r="C73" s="33"/>
      <c r="D73" s="34" t="s">
        <v>230</v>
      </c>
      <c r="E73" s="35"/>
      <c r="F73" s="36"/>
      <c r="G73" s="37"/>
      <c r="H73" s="38"/>
      <c r="I73" s="40">
        <f>SUM(I74:I75)</f>
        <v>4266.1199800000004</v>
      </c>
    </row>
    <row r="74" spans="1:9" ht="24" customHeight="1" x14ac:dyDescent="0.25">
      <c r="A74" s="10" t="s">
        <v>232</v>
      </c>
      <c r="B74" s="10" t="s">
        <v>237</v>
      </c>
      <c r="C74" s="10" t="s">
        <v>10</v>
      </c>
      <c r="D74" s="3" t="s">
        <v>236</v>
      </c>
      <c r="E74" s="10" t="s">
        <v>12</v>
      </c>
      <c r="F74" s="17">
        <f>MEMÓRIA!D61</f>
        <v>10</v>
      </c>
      <c r="G74" s="7">
        <v>8.1199999999999992</v>
      </c>
      <c r="H74" s="7">
        <f t="shared" ref="H74:H75" si="18">G74*(1+0.2247)</f>
        <v>9.944563999999998</v>
      </c>
      <c r="I74" s="7">
        <f t="shared" ref="I74:I75" si="19">H74*F74</f>
        <v>99.445639999999983</v>
      </c>
    </row>
    <row r="75" spans="1:9" ht="24" customHeight="1" x14ac:dyDescent="0.25">
      <c r="A75" s="10" t="s">
        <v>233</v>
      </c>
      <c r="B75" s="10" t="s">
        <v>235</v>
      </c>
      <c r="C75" s="10" t="s">
        <v>10</v>
      </c>
      <c r="D75" s="3" t="s">
        <v>234</v>
      </c>
      <c r="E75" s="10" t="s">
        <v>12</v>
      </c>
      <c r="F75" s="17">
        <f>MEMÓRIA!D62</f>
        <v>10</v>
      </c>
      <c r="G75" s="7">
        <v>340.22</v>
      </c>
      <c r="H75" s="7">
        <f t="shared" si="18"/>
        <v>416.66743400000001</v>
      </c>
      <c r="I75" s="7">
        <f t="shared" si="19"/>
        <v>4166.6743400000005</v>
      </c>
    </row>
    <row r="76" spans="1:9" ht="29.25" customHeight="1" x14ac:dyDescent="0.25">
      <c r="A76" s="94"/>
      <c r="B76" s="19"/>
      <c r="C76" s="19"/>
      <c r="D76" s="20"/>
      <c r="E76" s="143" t="s">
        <v>50</v>
      </c>
      <c r="F76" s="143"/>
      <c r="G76" s="143"/>
      <c r="H76" s="143"/>
      <c r="I76" s="21">
        <f>I61+I57+I49+I47+I36+I30+I24+I15+I73</f>
        <v>177059.25887440244</v>
      </c>
    </row>
    <row r="77" spans="1:9" ht="29.25" customHeight="1" x14ac:dyDescent="0.25">
      <c r="D77" s="122"/>
      <c r="E77" s="125"/>
      <c r="F77" s="125"/>
      <c r="G77" s="125"/>
      <c r="H77" s="125"/>
      <c r="I77" s="126"/>
    </row>
    <row r="78" spans="1:9" x14ac:dyDescent="0.25">
      <c r="I78" s="131"/>
    </row>
    <row r="79" spans="1:9" x14ac:dyDescent="0.25">
      <c r="E79" s="142" t="s">
        <v>247</v>
      </c>
      <c r="F79" s="142"/>
      <c r="G79" s="142"/>
      <c r="H79" s="142"/>
      <c r="I79" s="142"/>
    </row>
    <row r="80" spans="1:9" x14ac:dyDescent="0.25">
      <c r="E80" s="11"/>
      <c r="G80" s="11"/>
      <c r="H80" s="11"/>
      <c r="I80" s="110"/>
    </row>
    <row r="82" spans="5:9" x14ac:dyDescent="0.25">
      <c r="E82" s="142" t="s">
        <v>183</v>
      </c>
      <c r="F82" s="142"/>
      <c r="G82" s="142"/>
      <c r="H82" s="142"/>
      <c r="I82" s="142"/>
    </row>
    <row r="83" spans="5:9" x14ac:dyDescent="0.25">
      <c r="E83" s="142" t="s">
        <v>184</v>
      </c>
      <c r="F83" s="142"/>
      <c r="G83" s="142"/>
      <c r="H83" s="142"/>
      <c r="I83" s="142"/>
    </row>
    <row r="84" spans="5:9" x14ac:dyDescent="0.25">
      <c r="E84" s="142" t="s">
        <v>185</v>
      </c>
      <c r="F84" s="142"/>
      <c r="G84" s="142"/>
      <c r="H84" s="142"/>
      <c r="I84" s="142"/>
    </row>
    <row r="85" spans="5:9" x14ac:dyDescent="0.25">
      <c r="E85" s="142" t="s">
        <v>51</v>
      </c>
      <c r="F85" s="142"/>
      <c r="G85" s="142"/>
      <c r="H85" s="142"/>
      <c r="I85" s="142"/>
    </row>
  </sheetData>
  <mergeCells count="11">
    <mergeCell ref="E83:I83"/>
    <mergeCell ref="E84:I84"/>
    <mergeCell ref="E85:I85"/>
    <mergeCell ref="E76:H76"/>
    <mergeCell ref="G5:G7"/>
    <mergeCell ref="G9:G10"/>
    <mergeCell ref="E79:I79"/>
    <mergeCell ref="E82:I82"/>
    <mergeCell ref="A8:I8"/>
    <mergeCell ref="A9:F9"/>
    <mergeCell ref="A10:F10"/>
  </mergeCells>
  <conditionalFormatting sqref="A16:A18">
    <cfRule type="expression" dxfId="94" priority="412">
      <formula>IF($L16="I",TRUE,FALSE)</formula>
    </cfRule>
    <cfRule type="expression" dxfId="93" priority="413">
      <formula>IF($L16="T",TRUE,FALSE)</formula>
    </cfRule>
  </conditionalFormatting>
  <conditionalFormatting sqref="A19:A20">
    <cfRule type="expression" dxfId="92" priority="600">
      <formula>IF($L22="T",TRUE,FALSE)</formula>
    </cfRule>
    <cfRule type="expression" dxfId="91" priority="599">
      <formula>IF($L22="I",TRUE,FALSE)</formula>
    </cfRule>
  </conditionalFormatting>
  <conditionalFormatting sqref="A21:A23">
    <cfRule type="expression" dxfId="90" priority="604">
      <formula>IF(#REF!="T",TRUE,FALSE)</formula>
    </cfRule>
    <cfRule type="expression" dxfId="89" priority="603">
      <formula>IF(#REF!="I",TRUE,FALSE)</formula>
    </cfRule>
  </conditionalFormatting>
  <conditionalFormatting sqref="A24:A49">
    <cfRule type="expression" dxfId="88" priority="157">
      <formula>IF($L24="T",TRUE,FALSE)</formula>
    </cfRule>
    <cfRule type="expression" dxfId="87" priority="156">
      <formula>IF($L24="I",TRUE,FALSE)</formula>
    </cfRule>
  </conditionalFormatting>
  <conditionalFormatting sqref="A57 E57:G57 I57">
    <cfRule type="expression" dxfId="86" priority="23">
      <formula>IF($L57="I",TRUE,FALSE)</formula>
    </cfRule>
    <cfRule type="expression" dxfId="85" priority="24">
      <formula>IF($L57="T",TRUE,FALSE)</formula>
    </cfRule>
  </conditionalFormatting>
  <conditionalFormatting sqref="A61:A73">
    <cfRule type="expression" dxfId="84" priority="4">
      <formula>IF($L61="I",TRUE,FALSE)</formula>
    </cfRule>
    <cfRule type="expression" dxfId="83" priority="5">
      <formula>IF($L61="T",TRUE,FALSE)</formula>
    </cfRule>
  </conditionalFormatting>
  <conditionalFormatting sqref="A15:I15">
    <cfRule type="expression" dxfId="82" priority="597">
      <formula>IF($L15="I",TRUE,FALSE)</formula>
    </cfRule>
    <cfRule type="expression" dxfId="81" priority="598">
      <formula>IF($L15="T",TRUE,FALSE)</formula>
    </cfRule>
  </conditionalFormatting>
  <conditionalFormatting sqref="B43:D43">
    <cfRule type="expression" dxfId="80" priority="174">
      <formula>IF($L43="I",TRUE,FALSE)</formula>
    </cfRule>
    <cfRule type="expression" dxfId="79" priority="175">
      <formula>IF($L43="T",TRUE,FALSE)</formula>
    </cfRule>
  </conditionalFormatting>
  <conditionalFormatting sqref="B16:G23">
    <cfRule type="expression" dxfId="78" priority="220">
      <formula>IF($L16="I",TRUE,FALSE)</formula>
    </cfRule>
    <cfRule type="expression" dxfId="77" priority="221">
      <formula>IF($L16="T",TRUE,FALSE)</formula>
    </cfRule>
  </conditionalFormatting>
  <conditionalFormatting sqref="B25:G29">
    <cfRule type="expression" dxfId="76" priority="54">
      <formula>IF($L25="I",TRUE,FALSE)</formula>
    </cfRule>
    <cfRule type="expression" dxfId="75" priority="55">
      <formula>IF($L25="T",TRUE,FALSE)</formula>
    </cfRule>
  </conditionalFormatting>
  <conditionalFormatting sqref="B31:G35">
    <cfRule type="expression" dxfId="74" priority="193">
      <formula>IF($L31="T",TRUE,FALSE)</formula>
    </cfRule>
    <cfRule type="expression" dxfId="73" priority="192">
      <formula>IF($L31="I",TRUE,FALSE)</formula>
    </cfRule>
  </conditionalFormatting>
  <conditionalFormatting sqref="B37:G42">
    <cfRule type="expression" dxfId="72" priority="51">
      <formula>IF($L37="I",TRUE,FALSE)</formula>
    </cfRule>
    <cfRule type="expression" dxfId="71" priority="52">
      <formula>IF($L37="T",TRUE,FALSE)</formula>
    </cfRule>
  </conditionalFormatting>
  <conditionalFormatting sqref="B44:G44">
    <cfRule type="expression" dxfId="70" priority="161">
      <formula>IF($L44="I",TRUE,FALSE)</formula>
    </cfRule>
    <cfRule type="expression" dxfId="69" priority="162">
      <formula>IF($L44="T",TRUE,FALSE)</formula>
    </cfRule>
  </conditionalFormatting>
  <conditionalFormatting sqref="C15:C23">
    <cfRule type="expression" dxfId="68" priority="219">
      <formula>IF($L15="I",TRUE,FALSE)</formula>
    </cfRule>
  </conditionalFormatting>
  <conditionalFormatting sqref="C25:C29">
    <cfRule type="expression" dxfId="67" priority="53">
      <formula>IF($L25="I",TRUE,FALSE)</formula>
    </cfRule>
  </conditionalFormatting>
  <conditionalFormatting sqref="C31:C35">
    <cfRule type="expression" dxfId="66" priority="191">
      <formula>IF($L31="I",TRUE,FALSE)</formula>
    </cfRule>
  </conditionalFormatting>
  <conditionalFormatting sqref="C37:C45">
    <cfRule type="expression" dxfId="65" priority="50">
      <formula>IF($L37="I",TRUE,FALSE)</formula>
    </cfRule>
  </conditionalFormatting>
  <conditionalFormatting sqref="C45">
    <cfRule type="expression" dxfId="64" priority="187">
      <formula>IF($L45="I",TRUE,FALSE)</formula>
    </cfRule>
    <cfRule type="expression" dxfId="63" priority="188">
      <formula>IF($L45="T",TRUE,FALSE)</formula>
    </cfRule>
  </conditionalFormatting>
  <conditionalFormatting sqref="C67:C71">
    <cfRule type="expression" dxfId="62" priority="8">
      <formula>IF($L67="I",TRUE,FALSE)</formula>
    </cfRule>
    <cfRule type="expression" dxfId="61" priority="10">
      <formula>IF($L67="T",TRUE,FALSE)</formula>
    </cfRule>
    <cfRule type="expression" dxfId="60" priority="9">
      <formula>IF($L67="I",TRUE,FALSE)</formula>
    </cfRule>
  </conditionalFormatting>
  <conditionalFormatting sqref="E72">
    <cfRule type="expression" dxfId="59" priority="2">
      <formula>IF($L72="T",TRUE,FALSE)</formula>
    </cfRule>
    <cfRule type="expression" dxfId="58" priority="1">
      <formula>IF($L72="I",TRUE,FALSE)</formula>
    </cfRule>
  </conditionalFormatting>
  <conditionalFormatting sqref="E24:G24">
    <cfRule type="expression" dxfId="57" priority="580">
      <formula>IF($L24="I",TRUE,FALSE)</formula>
    </cfRule>
    <cfRule type="expression" dxfId="56" priority="581">
      <formula>IF($L24="T",TRUE,FALSE)</formula>
    </cfRule>
  </conditionalFormatting>
  <conditionalFormatting sqref="E30:G30">
    <cfRule type="expression" dxfId="55" priority="573">
      <formula>IF($L30="T",TRUE,FALSE)</formula>
    </cfRule>
    <cfRule type="expression" dxfId="54" priority="572">
      <formula>IF($L30="I",TRUE,FALSE)</formula>
    </cfRule>
  </conditionalFormatting>
  <conditionalFormatting sqref="E36:G36">
    <cfRule type="expression" dxfId="53" priority="548">
      <formula>IF($L36="T",TRUE,FALSE)</formula>
    </cfRule>
    <cfRule type="expression" dxfId="52" priority="547">
      <formula>IF($L36="I",TRUE,FALSE)</formula>
    </cfRule>
  </conditionalFormatting>
  <conditionalFormatting sqref="E47:G47">
    <cfRule type="expression" dxfId="51" priority="163">
      <formula>IF($L47="I",TRUE,FALSE)</formula>
    </cfRule>
    <cfRule type="expression" dxfId="50" priority="164">
      <formula>IF($L47="T",TRUE,FALSE)</formula>
    </cfRule>
  </conditionalFormatting>
  <conditionalFormatting sqref="E49:G49">
    <cfRule type="expression" dxfId="49" priority="376">
      <formula>IF($L49="T",TRUE,FALSE)</formula>
    </cfRule>
    <cfRule type="expression" dxfId="48" priority="375">
      <formula>IF($L49="I",TRUE,FALSE)</formula>
    </cfRule>
  </conditionalFormatting>
  <conditionalFormatting sqref="E61:G66 I61:I66">
    <cfRule type="expression" dxfId="47" priority="12">
      <formula>IF($L61="T",TRUE,FALSE)</formula>
    </cfRule>
    <cfRule type="expression" dxfId="46" priority="11">
      <formula>IF($L61="I",TRUE,FALSE)</formula>
    </cfRule>
  </conditionalFormatting>
  <conditionalFormatting sqref="E73:G73 I73">
    <cfRule type="expression" dxfId="45" priority="7">
      <formula>IF($L73="T",TRUE,FALSE)</formula>
    </cfRule>
    <cfRule type="expression" dxfId="44" priority="6">
      <formula>IF($L73="I",TRUE,FALSE)</formula>
    </cfRule>
  </conditionalFormatting>
  <conditionalFormatting sqref="I16:I49">
    <cfRule type="expression" dxfId="43" priority="154">
      <formula>IF($L16="I",TRUE,FALSE)</formula>
    </cfRule>
    <cfRule type="expression" dxfId="42" priority="155">
      <formula>IF($L16="T",TRUE,FALSE)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7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2"/>
  <sheetViews>
    <sheetView topLeftCell="A53" zoomScale="110" zoomScaleNormal="110" workbookViewId="0">
      <selection activeCell="E59" sqref="B58:E59"/>
    </sheetView>
  </sheetViews>
  <sheetFormatPr defaultRowHeight="15" x14ac:dyDescent="0.25"/>
  <cols>
    <col min="2" max="2" width="57" customWidth="1"/>
    <col min="3" max="3" width="9.140625" style="26"/>
    <col min="4" max="4" width="10.140625" style="58" customWidth="1"/>
    <col min="5" max="5" width="56" style="4" customWidth="1"/>
  </cols>
  <sheetData>
    <row r="1" spans="1:5" x14ac:dyDescent="0.25">
      <c r="A1" t="s">
        <v>2</v>
      </c>
      <c r="B1" t="s">
        <v>4</v>
      </c>
      <c r="C1" s="26" t="s">
        <v>12</v>
      </c>
      <c r="D1" s="58" t="s">
        <v>13</v>
      </c>
    </row>
    <row r="2" spans="1:5" x14ac:dyDescent="0.25">
      <c r="A2" s="97" t="s">
        <v>60</v>
      </c>
      <c r="B2" s="98" t="s">
        <v>101</v>
      </c>
      <c r="C2" s="99"/>
      <c r="D2" s="60"/>
      <c r="E2" s="61"/>
    </row>
    <row r="3" spans="1:5" ht="38.25" x14ac:dyDescent="0.25">
      <c r="A3" s="6" t="s">
        <v>61</v>
      </c>
      <c r="B3" s="69" t="s">
        <v>103</v>
      </c>
      <c r="C3" s="68" t="s">
        <v>11</v>
      </c>
      <c r="D3" s="17">
        <f>8*3</f>
        <v>24</v>
      </c>
      <c r="E3" s="5" t="s">
        <v>110</v>
      </c>
    </row>
    <row r="4" spans="1:5" ht="25.5" x14ac:dyDescent="0.25">
      <c r="A4" s="27" t="s">
        <v>62</v>
      </c>
      <c r="B4" s="69" t="s">
        <v>104</v>
      </c>
      <c r="C4" s="68" t="s">
        <v>11</v>
      </c>
      <c r="D4" s="17">
        <f>8*(3+2)</f>
        <v>40</v>
      </c>
      <c r="E4" s="5" t="s">
        <v>111</v>
      </c>
    </row>
    <row r="5" spans="1:5" ht="51" x14ac:dyDescent="0.25">
      <c r="A5" s="27" t="s">
        <v>63</v>
      </c>
      <c r="B5" s="69" t="s">
        <v>105</v>
      </c>
      <c r="C5" s="68" t="s">
        <v>21</v>
      </c>
      <c r="D5" s="17">
        <f>8*3*0.15</f>
        <v>3.5999999999999996</v>
      </c>
      <c r="E5" s="5" t="s">
        <v>112</v>
      </c>
    </row>
    <row r="6" spans="1:5" ht="30" x14ac:dyDescent="0.25">
      <c r="A6" s="43" t="s">
        <v>64</v>
      </c>
      <c r="B6" s="69" t="s">
        <v>106</v>
      </c>
      <c r="C6" s="68" t="s">
        <v>21</v>
      </c>
      <c r="D6" s="17">
        <f>56.5*2</f>
        <v>113</v>
      </c>
      <c r="E6" s="5" t="s">
        <v>113</v>
      </c>
    </row>
    <row r="7" spans="1:5" ht="25.5" x14ac:dyDescent="0.25">
      <c r="A7" s="27" t="s">
        <v>65</v>
      </c>
      <c r="B7" s="69" t="s">
        <v>107</v>
      </c>
      <c r="C7" s="68" t="s">
        <v>22</v>
      </c>
      <c r="D7" s="25">
        <f>(D3*0.15*0.05)+(D6*0.05)</f>
        <v>5.83</v>
      </c>
      <c r="E7" s="72" t="s">
        <v>114</v>
      </c>
    </row>
    <row r="8" spans="1:5" ht="30" customHeight="1" x14ac:dyDescent="0.25">
      <c r="A8" s="27" t="s">
        <v>66</v>
      </c>
      <c r="B8" s="69" t="s">
        <v>108</v>
      </c>
      <c r="C8" s="68" t="s">
        <v>21</v>
      </c>
      <c r="D8" s="17">
        <f>D6</f>
        <v>113</v>
      </c>
      <c r="E8" s="5" t="s">
        <v>115</v>
      </c>
    </row>
    <row r="9" spans="1:5" ht="38.25" x14ac:dyDescent="0.25">
      <c r="A9" s="43" t="s">
        <v>67</v>
      </c>
      <c r="B9" s="69" t="s">
        <v>109</v>
      </c>
      <c r="C9" s="68" t="s">
        <v>21</v>
      </c>
      <c r="D9" s="17">
        <f>D6</f>
        <v>113</v>
      </c>
      <c r="E9" s="5" t="s">
        <v>115</v>
      </c>
    </row>
    <row r="10" spans="1:5" ht="51" x14ac:dyDescent="0.25">
      <c r="A10" s="43" t="s">
        <v>68</v>
      </c>
      <c r="B10" s="69" t="s">
        <v>105</v>
      </c>
      <c r="C10" s="68" t="s">
        <v>21</v>
      </c>
      <c r="D10" s="17">
        <f>D6</f>
        <v>113</v>
      </c>
      <c r="E10" s="5" t="s">
        <v>115</v>
      </c>
    </row>
    <row r="11" spans="1:5" x14ac:dyDescent="0.25">
      <c r="A11" s="96" t="s">
        <v>52</v>
      </c>
      <c r="B11" s="44" t="s">
        <v>116</v>
      </c>
      <c r="C11" s="59"/>
      <c r="D11" s="60"/>
      <c r="E11" s="61"/>
    </row>
    <row r="12" spans="1:5" ht="30" x14ac:dyDescent="0.25">
      <c r="A12" s="6" t="s">
        <v>16</v>
      </c>
      <c r="B12" s="69" t="s">
        <v>106</v>
      </c>
      <c r="C12" s="68" t="s">
        <v>21</v>
      </c>
      <c r="D12" s="17">
        <f>(5.45+2.8+2.35+11.5)*1.5</f>
        <v>33.150000000000006</v>
      </c>
      <c r="E12" s="5" t="s">
        <v>117</v>
      </c>
    </row>
    <row r="13" spans="1:5" ht="25.5" x14ac:dyDescent="0.25">
      <c r="A13" s="6" t="s">
        <v>17</v>
      </c>
      <c r="B13" s="69" t="s">
        <v>107</v>
      </c>
      <c r="C13" s="68" t="s">
        <v>22</v>
      </c>
      <c r="D13" s="17">
        <f>D12*0.05</f>
        <v>1.6575000000000004</v>
      </c>
      <c r="E13" s="5"/>
    </row>
    <row r="14" spans="1:5" ht="30" x14ac:dyDescent="0.25">
      <c r="A14" s="6" t="s">
        <v>18</v>
      </c>
      <c r="B14" s="69" t="s">
        <v>108</v>
      </c>
      <c r="C14" s="68" t="s">
        <v>21</v>
      </c>
      <c r="D14" s="17">
        <f>(5.45+2.8+2.35+11.5)*1.5</f>
        <v>33.150000000000006</v>
      </c>
      <c r="E14" s="5" t="s">
        <v>118</v>
      </c>
    </row>
    <row r="15" spans="1:5" ht="38.25" x14ac:dyDescent="0.25">
      <c r="A15" s="13" t="s">
        <v>19</v>
      </c>
      <c r="B15" s="69" t="s">
        <v>109</v>
      </c>
      <c r="C15" s="68" t="s">
        <v>21</v>
      </c>
      <c r="D15" s="17">
        <f>(5.45+2.8+2.35+11.5)*1.5</f>
        <v>33.150000000000006</v>
      </c>
      <c r="E15" s="5" t="s">
        <v>118</v>
      </c>
    </row>
    <row r="16" spans="1:5" ht="51" x14ac:dyDescent="0.25">
      <c r="A16" s="6" t="s">
        <v>20</v>
      </c>
      <c r="B16" s="69" t="s">
        <v>105</v>
      </c>
      <c r="C16" s="68" t="s">
        <v>21</v>
      </c>
      <c r="D16" s="17">
        <f>(5.45+2.8+2.35+11.5)*1.5</f>
        <v>33.150000000000006</v>
      </c>
      <c r="E16" s="5" t="s">
        <v>118</v>
      </c>
    </row>
    <row r="17" spans="1:5" x14ac:dyDescent="0.25">
      <c r="A17" s="96" t="s">
        <v>23</v>
      </c>
      <c r="B17" s="73" t="s">
        <v>121</v>
      </c>
      <c r="C17" s="74"/>
      <c r="D17" s="75"/>
      <c r="E17" s="76"/>
    </row>
    <row r="18" spans="1:5" ht="45" x14ac:dyDescent="0.25">
      <c r="A18" s="6" t="s">
        <v>24</v>
      </c>
      <c r="B18" s="69" t="s">
        <v>106</v>
      </c>
      <c r="C18" s="68" t="s">
        <v>21</v>
      </c>
      <c r="D18" s="17">
        <f>17.2+3.4+2.8+9.6+2.25+3.6+1+2.4+3.6+2.1</f>
        <v>47.95</v>
      </c>
      <c r="E18" s="5" t="s">
        <v>122</v>
      </c>
    </row>
    <row r="19" spans="1:5" ht="25.5" x14ac:dyDescent="0.25">
      <c r="A19" s="6" t="s">
        <v>25</v>
      </c>
      <c r="B19" s="77" t="s">
        <v>107</v>
      </c>
      <c r="C19" s="78" t="s">
        <v>22</v>
      </c>
      <c r="D19" s="17">
        <f>D18*0.05</f>
        <v>2.3975000000000004</v>
      </c>
      <c r="E19" s="5"/>
    </row>
    <row r="20" spans="1:5" ht="30" x14ac:dyDescent="0.25">
      <c r="A20" s="6" t="s">
        <v>57</v>
      </c>
      <c r="B20" s="77" t="s">
        <v>108</v>
      </c>
      <c r="C20" s="78" t="s">
        <v>21</v>
      </c>
      <c r="D20" s="17">
        <f>17.2+3.4+2.8+9.6+2.25+3.6+1+2.4+3.6+2.1</f>
        <v>47.95</v>
      </c>
      <c r="E20" s="5" t="s">
        <v>123</v>
      </c>
    </row>
    <row r="21" spans="1:5" ht="38.25" x14ac:dyDescent="0.25">
      <c r="A21" s="13" t="s">
        <v>119</v>
      </c>
      <c r="B21" s="69" t="s">
        <v>124</v>
      </c>
      <c r="C21" s="68" t="s">
        <v>21</v>
      </c>
      <c r="D21" s="17">
        <f t="shared" ref="D21:D22" si="0">17.2+3.4+2.8+9.6+2.25+3.6+1+2.4+3.6+2.1</f>
        <v>47.95</v>
      </c>
      <c r="E21" s="5" t="s">
        <v>123</v>
      </c>
    </row>
    <row r="22" spans="1:5" ht="38.25" x14ac:dyDescent="0.25">
      <c r="A22" s="6" t="s">
        <v>120</v>
      </c>
      <c r="B22" s="69" t="s">
        <v>125</v>
      </c>
      <c r="C22" s="68" t="s">
        <v>21</v>
      </c>
      <c r="D22" s="17">
        <f t="shared" si="0"/>
        <v>47.95</v>
      </c>
      <c r="E22" s="5" t="s">
        <v>123</v>
      </c>
    </row>
    <row r="23" spans="1:5" x14ac:dyDescent="0.25">
      <c r="A23" s="96" t="s">
        <v>26</v>
      </c>
      <c r="B23" s="73" t="s">
        <v>126</v>
      </c>
      <c r="C23" s="74"/>
      <c r="D23" s="84"/>
      <c r="E23" s="85"/>
    </row>
    <row r="24" spans="1:5" ht="38.25" x14ac:dyDescent="0.25">
      <c r="A24" s="6" t="s">
        <v>27</v>
      </c>
      <c r="B24" s="69" t="s">
        <v>129</v>
      </c>
      <c r="C24" s="68" t="s">
        <v>21</v>
      </c>
      <c r="D24" s="17">
        <f>3.25*1.2</f>
        <v>3.9</v>
      </c>
      <c r="E24" s="5" t="s">
        <v>135</v>
      </c>
    </row>
    <row r="25" spans="1:5" x14ac:dyDescent="0.25">
      <c r="A25" s="6" t="s">
        <v>28</v>
      </c>
      <c r="B25" s="69" t="s">
        <v>42</v>
      </c>
      <c r="C25" s="68" t="s">
        <v>22</v>
      </c>
      <c r="D25" s="17">
        <f>3.25*0.15*0.25*2</f>
        <v>0.24374999999999999</v>
      </c>
      <c r="E25" s="5" t="s">
        <v>136</v>
      </c>
    </row>
    <row r="26" spans="1:5" ht="25.5" x14ac:dyDescent="0.25">
      <c r="A26" s="6" t="s">
        <v>59</v>
      </c>
      <c r="B26" s="69" t="s">
        <v>130</v>
      </c>
      <c r="C26" s="68" t="s">
        <v>21</v>
      </c>
      <c r="D26" s="17">
        <f>1.65*0.8</f>
        <v>1.32</v>
      </c>
      <c r="E26" s="5" t="s">
        <v>137</v>
      </c>
    </row>
    <row r="27" spans="1:5" ht="38.25" x14ac:dyDescent="0.25">
      <c r="A27" s="6" t="s">
        <v>69</v>
      </c>
      <c r="B27" s="69" t="s">
        <v>131</v>
      </c>
      <c r="C27" s="68" t="s">
        <v>21</v>
      </c>
      <c r="D27" s="17">
        <f>1.65*0.8</f>
        <v>1.32</v>
      </c>
      <c r="E27" s="5" t="s">
        <v>138</v>
      </c>
    </row>
    <row r="28" spans="1:5" ht="45" x14ac:dyDescent="0.25">
      <c r="A28" s="6" t="s">
        <v>70</v>
      </c>
      <c r="B28" s="69" t="s">
        <v>109</v>
      </c>
      <c r="C28" s="68" t="s">
        <v>21</v>
      </c>
      <c r="D28" s="17">
        <f>(0.8*1.2*4)+(1.45*1.1)+(1.45*0.7*3)</f>
        <v>8.48</v>
      </c>
      <c r="E28" s="5" t="s">
        <v>139</v>
      </c>
    </row>
    <row r="29" spans="1:5" ht="63.75" x14ac:dyDescent="0.25">
      <c r="A29" s="6" t="s">
        <v>71</v>
      </c>
      <c r="B29" s="69" t="s">
        <v>132</v>
      </c>
      <c r="C29" s="68" t="s">
        <v>21</v>
      </c>
      <c r="D29" s="17">
        <f>(0.8*1.2*2)+(1.45*1.1)+(1.45*0.7*2)</f>
        <v>5.5449999999999999</v>
      </c>
      <c r="E29" s="5" t="s">
        <v>140</v>
      </c>
    </row>
    <row r="30" spans="1:5" ht="38.25" x14ac:dyDescent="0.25">
      <c r="A30" s="6" t="s">
        <v>72</v>
      </c>
      <c r="B30" s="81" t="s">
        <v>133</v>
      </c>
      <c r="C30" s="79" t="s">
        <v>21</v>
      </c>
      <c r="D30" s="17">
        <f>(0.8*1.2*2)+(1.45*1.1)+(1.45*0.7*2)</f>
        <v>5.5449999999999999</v>
      </c>
      <c r="E30" s="5" t="s">
        <v>140</v>
      </c>
    </row>
    <row r="31" spans="1:5" ht="38.25" x14ac:dyDescent="0.25">
      <c r="A31" s="6" t="s">
        <v>73</v>
      </c>
      <c r="B31" s="69" t="s">
        <v>125</v>
      </c>
      <c r="C31" s="68" t="s">
        <v>21</v>
      </c>
      <c r="D31" s="17">
        <f>(0.8*1.2*2)+(1.45*0.7)</f>
        <v>2.9349999999999996</v>
      </c>
      <c r="E31" s="5" t="s">
        <v>141</v>
      </c>
    </row>
    <row r="32" spans="1:5" x14ac:dyDescent="0.25">
      <c r="A32" s="6" t="s">
        <v>74</v>
      </c>
      <c r="B32" s="3" t="s">
        <v>127</v>
      </c>
      <c r="C32" s="10" t="s">
        <v>21</v>
      </c>
      <c r="D32" s="17">
        <f>1.45*1.1*2</f>
        <v>3.19</v>
      </c>
      <c r="E32" s="5" t="s">
        <v>142</v>
      </c>
    </row>
    <row r="33" spans="1:5" ht="30" x14ac:dyDescent="0.25">
      <c r="A33" s="6" t="s">
        <v>134</v>
      </c>
      <c r="B33" s="124" t="s">
        <v>82</v>
      </c>
      <c r="C33" s="10" t="s">
        <v>21</v>
      </c>
      <c r="D33" s="17">
        <f>(0.8*1.2*2)+(1.45*0.7)</f>
        <v>2.9349999999999996</v>
      </c>
      <c r="E33" s="5" t="s">
        <v>141</v>
      </c>
    </row>
    <row r="34" spans="1:5" x14ac:dyDescent="0.25">
      <c r="A34" s="96" t="s">
        <v>29</v>
      </c>
      <c r="B34" s="73" t="s">
        <v>143</v>
      </c>
      <c r="C34" s="74"/>
      <c r="D34" s="84"/>
      <c r="E34" s="85"/>
    </row>
    <row r="35" spans="1:5" ht="30" x14ac:dyDescent="0.25">
      <c r="A35" s="6" t="s">
        <v>30</v>
      </c>
      <c r="B35" s="5" t="s">
        <v>144</v>
      </c>
      <c r="C35" s="10" t="s">
        <v>21</v>
      </c>
      <c r="D35" s="17">
        <f>0.7*1.4</f>
        <v>0.97999999999999987</v>
      </c>
      <c r="E35" s="5" t="s">
        <v>145</v>
      </c>
    </row>
    <row r="36" spans="1:5" x14ac:dyDescent="0.25">
      <c r="A36" s="96" t="s">
        <v>31</v>
      </c>
      <c r="B36" s="62" t="s">
        <v>44</v>
      </c>
      <c r="C36" s="63"/>
      <c r="D36" s="60"/>
      <c r="E36" s="61"/>
    </row>
    <row r="37" spans="1:5" x14ac:dyDescent="0.25">
      <c r="A37" s="10" t="s">
        <v>32</v>
      </c>
      <c r="B37" s="2" t="s">
        <v>82</v>
      </c>
      <c r="C37" s="10" t="s">
        <v>21</v>
      </c>
      <c r="D37" s="18">
        <f>'PINTURA TOTAL'!E14</f>
        <v>210</v>
      </c>
      <c r="E37" s="3" t="s">
        <v>173</v>
      </c>
    </row>
    <row r="38" spans="1:5" x14ac:dyDescent="0.25">
      <c r="A38" s="12" t="s">
        <v>33</v>
      </c>
      <c r="B38" s="2" t="s">
        <v>75</v>
      </c>
      <c r="C38" s="10" t="s">
        <v>21</v>
      </c>
      <c r="D38" s="18">
        <f>'PINTURA TOTAL'!K73</f>
        <v>579.08999999999992</v>
      </c>
      <c r="E38" s="3" t="s">
        <v>171</v>
      </c>
    </row>
    <row r="39" spans="1:5" x14ac:dyDescent="0.25">
      <c r="A39" s="10" t="s">
        <v>34</v>
      </c>
      <c r="B39" s="2" t="s">
        <v>82</v>
      </c>
      <c r="C39" s="10" t="s">
        <v>21</v>
      </c>
      <c r="D39" s="18">
        <f>'PINTURA TOTAL'!D64</f>
        <v>170.23000000000002</v>
      </c>
      <c r="E39" s="3" t="s">
        <v>164</v>
      </c>
    </row>
    <row r="40" spans="1:5" x14ac:dyDescent="0.25">
      <c r="A40" s="10" t="s">
        <v>35</v>
      </c>
      <c r="B40" s="2" t="s">
        <v>45</v>
      </c>
      <c r="C40" s="10" t="s">
        <v>21</v>
      </c>
      <c r="D40" s="18">
        <f>'PINTURA TOTAL'!G119</f>
        <v>54.599999999999994</v>
      </c>
      <c r="E40" s="3" t="s">
        <v>223</v>
      </c>
    </row>
    <row r="41" spans="1:5" x14ac:dyDescent="0.25">
      <c r="A41" s="10" t="s">
        <v>36</v>
      </c>
      <c r="B41" s="2" t="s">
        <v>48</v>
      </c>
      <c r="C41" s="10" t="s">
        <v>21</v>
      </c>
      <c r="D41" s="18">
        <f>'PINTURA TOTAL'!G126</f>
        <v>68.040000000000006</v>
      </c>
      <c r="E41" s="3" t="s">
        <v>177</v>
      </c>
    </row>
    <row r="42" spans="1:5" x14ac:dyDescent="0.25">
      <c r="A42" s="10" t="s">
        <v>37</v>
      </c>
      <c r="B42" s="3" t="s">
        <v>228</v>
      </c>
      <c r="C42" s="10" t="s">
        <v>14</v>
      </c>
      <c r="D42" s="18">
        <f>D37+D38</f>
        <v>789.08999999999992</v>
      </c>
      <c r="E42" s="3" t="s">
        <v>239</v>
      </c>
    </row>
    <row r="43" spans="1:5" ht="30" x14ac:dyDescent="0.25">
      <c r="A43" s="10" t="s">
        <v>55</v>
      </c>
      <c r="B43" s="3" t="s">
        <v>241</v>
      </c>
      <c r="C43" s="10"/>
      <c r="D43" s="18">
        <f>D40</f>
        <v>54.599999999999994</v>
      </c>
      <c r="E43" s="3" t="s">
        <v>243</v>
      </c>
    </row>
    <row r="44" spans="1:5" x14ac:dyDescent="0.25">
      <c r="A44" s="127" t="s">
        <v>38</v>
      </c>
      <c r="B44" s="128" t="s">
        <v>189</v>
      </c>
      <c r="C44" s="129"/>
      <c r="D44" s="111"/>
      <c r="E44" s="112"/>
    </row>
    <row r="45" spans="1:5" ht="30" x14ac:dyDescent="0.25">
      <c r="A45" s="10" t="s">
        <v>39</v>
      </c>
      <c r="B45" s="5" t="s">
        <v>190</v>
      </c>
      <c r="C45" s="10" t="s">
        <v>21</v>
      </c>
      <c r="D45" s="17">
        <f>1.2*2.1</f>
        <v>2.52</v>
      </c>
      <c r="E45" s="5" t="s">
        <v>194</v>
      </c>
    </row>
    <row r="46" spans="1:5" ht="30" x14ac:dyDescent="0.25">
      <c r="A46" s="10" t="s">
        <v>53</v>
      </c>
      <c r="B46" s="5" t="s">
        <v>191</v>
      </c>
      <c r="C46" s="10" t="s">
        <v>21</v>
      </c>
      <c r="D46" s="17">
        <f>1.2*2.1</f>
        <v>2.52</v>
      </c>
      <c r="E46" s="5" t="s">
        <v>195</v>
      </c>
    </row>
    <row r="47" spans="1:5" ht="45" x14ac:dyDescent="0.25">
      <c r="A47" s="10" t="s">
        <v>54</v>
      </c>
      <c r="B47" s="5" t="s">
        <v>193</v>
      </c>
      <c r="C47" s="10" t="s">
        <v>21</v>
      </c>
      <c r="D47" s="17">
        <f>D46/2</f>
        <v>1.26</v>
      </c>
      <c r="E47" s="5" t="s">
        <v>196</v>
      </c>
    </row>
    <row r="48" spans="1:5" x14ac:dyDescent="0.25">
      <c r="A48" s="123" t="s">
        <v>188</v>
      </c>
      <c r="B48" s="114" t="s">
        <v>40</v>
      </c>
      <c r="C48" s="113"/>
      <c r="D48" s="111"/>
      <c r="E48" s="112"/>
    </row>
    <row r="49" spans="1:5" ht="30" x14ac:dyDescent="0.25">
      <c r="A49" s="27" t="s">
        <v>197</v>
      </c>
      <c r="B49" s="5" t="s">
        <v>209</v>
      </c>
      <c r="C49" s="13" t="s">
        <v>21</v>
      </c>
      <c r="D49" s="18">
        <v>191.35</v>
      </c>
      <c r="E49" s="3" t="s">
        <v>221</v>
      </c>
    </row>
    <row r="50" spans="1:5" ht="30" x14ac:dyDescent="0.25">
      <c r="A50" s="27" t="s">
        <v>198</v>
      </c>
      <c r="B50" s="5" t="s">
        <v>210</v>
      </c>
      <c r="C50" s="6" t="s">
        <v>11</v>
      </c>
      <c r="D50" s="120">
        <v>69.900000000000006</v>
      </c>
      <c r="E50" s="121"/>
    </row>
    <row r="51" spans="1:5" ht="45" x14ac:dyDescent="0.25">
      <c r="A51" s="27" t="s">
        <v>199</v>
      </c>
      <c r="B51" s="5" t="s">
        <v>211</v>
      </c>
      <c r="C51" s="6" t="s">
        <v>21</v>
      </c>
      <c r="D51" s="17">
        <f>D49</f>
        <v>191.35</v>
      </c>
      <c r="E51" s="3"/>
    </row>
    <row r="52" spans="1:5" ht="30" x14ac:dyDescent="0.25">
      <c r="A52" s="27" t="s">
        <v>200</v>
      </c>
      <c r="B52" s="122" t="s">
        <v>212</v>
      </c>
      <c r="C52" s="13" t="s">
        <v>22</v>
      </c>
      <c r="D52" s="17">
        <f>(23.95+23.95)*0.8*0.15</f>
        <v>5.7480000000000002</v>
      </c>
      <c r="E52" s="3" t="s">
        <v>222</v>
      </c>
    </row>
    <row r="53" spans="1:5" ht="45" x14ac:dyDescent="0.25">
      <c r="A53" s="27" t="s">
        <v>201</v>
      </c>
      <c r="B53" s="3" t="s">
        <v>203</v>
      </c>
      <c r="C53" s="13" t="s">
        <v>22</v>
      </c>
      <c r="D53" s="17">
        <f>(D46*0.03)+(D47*0.4*0.6)+(D49*0.07)+(D51*0.05)+(D50*0.2*0.02)+D52</f>
        <v>29.367600000000003</v>
      </c>
      <c r="E53" s="3"/>
    </row>
    <row r="54" spans="1:5" ht="60" x14ac:dyDescent="0.25">
      <c r="A54" s="6" t="s">
        <v>204</v>
      </c>
      <c r="B54" s="5" t="s">
        <v>218</v>
      </c>
      <c r="C54" s="10" t="s">
        <v>15</v>
      </c>
      <c r="D54" s="17">
        <f>220.49*10</f>
        <v>2204.9</v>
      </c>
      <c r="E54" s="5" t="s">
        <v>219</v>
      </c>
    </row>
    <row r="55" spans="1:5" ht="30" x14ac:dyDescent="0.25">
      <c r="A55" s="6" t="s">
        <v>205</v>
      </c>
      <c r="B55" s="5" t="s">
        <v>213</v>
      </c>
      <c r="C55" s="10" t="s">
        <v>21</v>
      </c>
      <c r="D55" s="17">
        <f>220.49+(8/100*220.49)</f>
        <v>238.12920000000003</v>
      </c>
      <c r="E55" s="5" t="s">
        <v>217</v>
      </c>
    </row>
    <row r="56" spans="1:5" ht="45" x14ac:dyDescent="0.25">
      <c r="A56" s="6" t="s">
        <v>206</v>
      </c>
      <c r="B56" s="5" t="s">
        <v>214</v>
      </c>
      <c r="C56" s="10" t="s">
        <v>11</v>
      </c>
      <c r="D56" s="17">
        <v>47.9</v>
      </c>
      <c r="E56" s="5"/>
    </row>
    <row r="57" spans="1:5" ht="30" x14ac:dyDescent="0.25">
      <c r="A57" s="13" t="s">
        <v>207</v>
      </c>
      <c r="B57" s="5" t="s">
        <v>216</v>
      </c>
      <c r="C57" s="10" t="s">
        <v>11</v>
      </c>
      <c r="D57" s="17">
        <f>16+7</f>
        <v>23</v>
      </c>
      <c r="E57" s="5"/>
    </row>
    <row r="58" spans="1:5" ht="45" x14ac:dyDescent="0.25">
      <c r="A58" s="6" t="s">
        <v>208</v>
      </c>
      <c r="B58" s="5" t="s">
        <v>215</v>
      </c>
      <c r="C58" s="10" t="s">
        <v>11</v>
      </c>
      <c r="D58" s="17">
        <f>(3.8*8)+15</f>
        <v>45.4</v>
      </c>
      <c r="E58" s="5" t="s">
        <v>202</v>
      </c>
    </row>
    <row r="59" spans="1:5" ht="25.5" x14ac:dyDescent="0.25">
      <c r="A59" s="132" t="s">
        <v>244</v>
      </c>
      <c r="B59" s="81" t="s">
        <v>246</v>
      </c>
      <c r="C59" s="68" t="s">
        <v>11</v>
      </c>
      <c r="D59" s="17">
        <v>23.95</v>
      </c>
      <c r="E59" s="5"/>
    </row>
    <row r="60" spans="1:5" x14ac:dyDescent="0.25">
      <c r="A60" s="130"/>
      <c r="B60" s="134" t="s">
        <v>230</v>
      </c>
      <c r="C60" s="113"/>
      <c r="D60" s="111"/>
      <c r="E60" s="112"/>
    </row>
    <row r="61" spans="1:5" x14ac:dyDescent="0.25">
      <c r="A61" s="2"/>
      <c r="B61" s="3" t="s">
        <v>236</v>
      </c>
      <c r="C61" s="10" t="s">
        <v>12</v>
      </c>
      <c r="D61" s="17">
        <v>10</v>
      </c>
      <c r="E61" s="149" t="s">
        <v>238</v>
      </c>
    </row>
    <row r="62" spans="1:5" x14ac:dyDescent="0.25">
      <c r="A62" s="2"/>
      <c r="B62" s="3" t="s">
        <v>234</v>
      </c>
      <c r="C62" s="10" t="s">
        <v>12</v>
      </c>
      <c r="D62" s="17">
        <v>10</v>
      </c>
      <c r="E62" s="150"/>
    </row>
  </sheetData>
  <mergeCells count="1">
    <mergeCell ref="E61:E62"/>
  </mergeCells>
  <conditionalFormatting sqref="A2:A5">
    <cfRule type="expression" dxfId="41" priority="67">
      <formula>IF($L2="I",TRUE,FALSE)</formula>
    </cfRule>
    <cfRule type="expression" dxfId="40" priority="68">
      <formula>IF($L2="T",TRUE,FALSE)</formula>
    </cfRule>
  </conditionalFormatting>
  <conditionalFormatting sqref="A6:A7">
    <cfRule type="expression" dxfId="39" priority="77">
      <formula>IF($L9="I",TRUE,FALSE)</formula>
    </cfRule>
    <cfRule type="expression" dxfId="38" priority="78">
      <formula>IF($L9="T",TRUE,FALSE)</formula>
    </cfRule>
  </conditionalFormatting>
  <conditionalFormatting sqref="A8:A10">
    <cfRule type="expression" dxfId="37" priority="79">
      <formula>IF(#REF!="I",TRUE,FALSE)</formula>
    </cfRule>
    <cfRule type="expression" dxfId="36" priority="80">
      <formula>IF(#REF!="T",TRUE,FALSE)</formula>
    </cfRule>
  </conditionalFormatting>
  <conditionalFormatting sqref="A11:A36">
    <cfRule type="expression" dxfId="35" priority="15">
      <formula>IF($L11="I",TRUE,FALSE)</formula>
    </cfRule>
    <cfRule type="expression" dxfId="34" priority="16">
      <formula>IF($L11="T",TRUE,FALSE)</formula>
    </cfRule>
  </conditionalFormatting>
  <conditionalFormatting sqref="A44">
    <cfRule type="expression" dxfId="33" priority="13">
      <formula>IF($L44="I",TRUE,FALSE)</formula>
    </cfRule>
    <cfRule type="expression" dxfId="32" priority="14">
      <formula>IF($L44="T",TRUE,FALSE)</formula>
    </cfRule>
  </conditionalFormatting>
  <conditionalFormatting sqref="A48:A59">
    <cfRule type="expression" dxfId="31" priority="3">
      <formula>IF($L48="I",TRUE,FALSE)</formula>
    </cfRule>
    <cfRule type="expression" dxfId="30" priority="4">
      <formula>IF($L48="T",TRUE,FALSE)</formula>
    </cfRule>
  </conditionalFormatting>
  <conditionalFormatting sqref="B22">
    <cfRule type="expression" dxfId="29" priority="186">
      <formula>IF($L22="T",TRUE,FALSE)</formula>
    </cfRule>
    <cfRule type="expression" dxfId="28" priority="185">
      <formula>IF($L22="I",TRUE,FALSE)</formula>
    </cfRule>
  </conditionalFormatting>
  <conditionalFormatting sqref="B30">
    <cfRule type="expression" dxfId="27" priority="177">
      <formula>IF($L30="I",TRUE,FALSE)</formula>
    </cfRule>
    <cfRule type="expression" dxfId="26" priority="178">
      <formula>IF($L30="T",TRUE,FALSE)</formula>
    </cfRule>
  </conditionalFormatting>
  <conditionalFormatting sqref="B2:C10">
    <cfRule type="expression" dxfId="25" priority="203">
      <formula>IF($L2="I",TRUE,FALSE)</formula>
    </cfRule>
    <cfRule type="expression" dxfId="24" priority="204">
      <formula>IF($L2="T",TRUE,FALSE)</formula>
    </cfRule>
  </conditionalFormatting>
  <conditionalFormatting sqref="B12:C16">
    <cfRule type="expression" dxfId="23" priority="195">
      <formula>IF($L12="I",TRUE,FALSE)</formula>
    </cfRule>
    <cfRule type="expression" dxfId="22" priority="196">
      <formula>IF($L12="T",TRUE,FALSE)</formula>
    </cfRule>
  </conditionalFormatting>
  <conditionalFormatting sqref="B18:C21">
    <cfRule type="expression" dxfId="21" priority="187">
      <formula>IF($L18="I",TRUE,FALSE)</formula>
    </cfRule>
    <cfRule type="expression" dxfId="20" priority="188">
      <formula>IF($L18="T",TRUE,FALSE)</formula>
    </cfRule>
  </conditionalFormatting>
  <conditionalFormatting sqref="B24:C29">
    <cfRule type="expression" dxfId="19" priority="173">
      <formula>IF($L24="I",TRUE,FALSE)</formula>
    </cfRule>
    <cfRule type="expression" dxfId="18" priority="174">
      <formula>IF($L24="T",TRUE,FALSE)</formula>
    </cfRule>
  </conditionalFormatting>
  <conditionalFormatting sqref="B31:C31">
    <cfRule type="expression" dxfId="17" priority="171">
      <formula>IF($L31="I",TRUE,FALSE)</formula>
    </cfRule>
    <cfRule type="expression" dxfId="16" priority="172">
      <formula>IF($L31="T",TRUE,FALSE)</formula>
    </cfRule>
  </conditionalFormatting>
  <conditionalFormatting sqref="C11">
    <cfRule type="expression" dxfId="15" priority="201">
      <formula>IF($L11="I",TRUE,FALSE)</formula>
    </cfRule>
    <cfRule type="expression" dxfId="14" priority="202">
      <formula>IF($L11="T",TRUE,FALSE)</formula>
    </cfRule>
  </conditionalFormatting>
  <conditionalFormatting sqref="C17">
    <cfRule type="expression" dxfId="13" priority="193">
      <formula>IF($L17="I",TRUE,FALSE)</formula>
    </cfRule>
    <cfRule type="expression" dxfId="12" priority="194">
      <formula>IF($L17="T",TRUE,FALSE)</formula>
    </cfRule>
  </conditionalFormatting>
  <conditionalFormatting sqref="C22:C23">
    <cfRule type="expression" dxfId="11" priority="183">
      <formula>IF($L22="I",TRUE,FALSE)</formula>
    </cfRule>
    <cfRule type="expression" dxfId="10" priority="184">
      <formula>IF($L22="T",TRUE,FALSE)</formula>
    </cfRule>
  </conditionalFormatting>
  <conditionalFormatting sqref="C34">
    <cfRule type="expression" dxfId="9" priority="144">
      <formula>IF($L34="T",TRUE,FALSE)</formula>
    </cfRule>
    <cfRule type="expression" dxfId="8" priority="143">
      <formula>IF($L34="I",TRUE,FALSE)</formula>
    </cfRule>
  </conditionalFormatting>
  <conditionalFormatting sqref="C36">
    <cfRule type="expression" dxfId="7" priority="221">
      <formula>IF($L36="I",TRUE,FALSE)</formula>
    </cfRule>
    <cfRule type="expression" dxfId="6" priority="222">
      <formula>IF($L36="T",TRUE,FALSE)</formula>
    </cfRule>
  </conditionalFormatting>
  <conditionalFormatting sqref="C44">
    <cfRule type="expression" dxfId="5" priority="17">
      <formula>IF($L44="I",TRUE,FALSE)</formula>
    </cfRule>
    <cfRule type="expression" dxfId="4" priority="18">
      <formula>IF($L44="T",TRUE,FALSE)</formula>
    </cfRule>
  </conditionalFormatting>
  <conditionalFormatting sqref="C49:C53">
    <cfRule type="expression" dxfId="3" priority="5">
      <formula>IF($L49="I",TRUE,FALSE)</formula>
    </cfRule>
    <cfRule type="expression" dxfId="2" priority="6">
      <formula>IF($L49="T",TRUE,FALSE)</formula>
    </cfRule>
  </conditionalFormatting>
  <conditionalFormatting sqref="C59">
    <cfRule type="expression" dxfId="1" priority="2">
      <formula>IF($L59="T",TRUE,FALSE)</formula>
    </cfRule>
    <cfRule type="expression" dxfId="0" priority="1">
      <formula>IF($L59="I",TRUE,FALSE)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6"/>
  <sheetViews>
    <sheetView topLeftCell="A64" workbookViewId="0">
      <selection activeCell="G127" sqref="G127"/>
    </sheetView>
  </sheetViews>
  <sheetFormatPr defaultRowHeight="15" x14ac:dyDescent="0.25"/>
  <cols>
    <col min="1" max="1" width="11.7109375" customWidth="1"/>
    <col min="3" max="3" width="9.5703125" style="26" bestFit="1" customWidth="1"/>
    <col min="4" max="6" width="9.140625" style="26"/>
  </cols>
  <sheetData>
    <row r="1" spans="1:6" x14ac:dyDescent="0.25">
      <c r="A1" s="89" t="s">
        <v>147</v>
      </c>
      <c r="B1" s="89"/>
      <c r="C1" s="90"/>
    </row>
    <row r="3" spans="1:6" x14ac:dyDescent="0.25">
      <c r="A3" t="s">
        <v>148</v>
      </c>
      <c r="C3" s="26">
        <v>56.5</v>
      </c>
      <c r="D3" s="151" t="s">
        <v>152</v>
      </c>
      <c r="E3" s="151"/>
      <c r="F3" s="26">
        <f>C3*C4</f>
        <v>237.3</v>
      </c>
    </row>
    <row r="4" spans="1:6" x14ac:dyDescent="0.25">
      <c r="A4" t="s">
        <v>149</v>
      </c>
      <c r="C4" s="26">
        <v>4.2</v>
      </c>
    </row>
    <row r="7" spans="1:6" x14ac:dyDescent="0.25">
      <c r="A7" t="s">
        <v>150</v>
      </c>
      <c r="C7" s="26">
        <v>0.8</v>
      </c>
      <c r="D7" s="26">
        <v>0.6</v>
      </c>
      <c r="E7" s="26">
        <v>6</v>
      </c>
      <c r="F7" s="26">
        <f>E7*D7*C7</f>
        <v>2.88</v>
      </c>
    </row>
    <row r="8" spans="1:6" x14ac:dyDescent="0.25">
      <c r="C8" s="26">
        <v>1.5</v>
      </c>
      <c r="D8" s="26">
        <v>1</v>
      </c>
      <c r="E8" s="26">
        <v>13</v>
      </c>
      <c r="F8" s="26">
        <f t="shared" ref="F8:F10" si="0">E8*D8*C8</f>
        <v>19.5</v>
      </c>
    </row>
    <row r="9" spans="1:6" x14ac:dyDescent="0.25">
      <c r="C9" s="26">
        <v>1.2</v>
      </c>
      <c r="D9" s="26">
        <v>1</v>
      </c>
      <c r="E9" s="26">
        <v>2</v>
      </c>
      <c r="F9" s="26">
        <f t="shared" si="0"/>
        <v>2.4</v>
      </c>
    </row>
    <row r="10" spans="1:6" x14ac:dyDescent="0.25">
      <c r="C10" s="26">
        <v>1.2</v>
      </c>
      <c r="D10" s="26">
        <v>2.1</v>
      </c>
      <c r="E10" s="26">
        <v>1</v>
      </c>
      <c r="F10" s="26">
        <f t="shared" si="0"/>
        <v>2.52</v>
      </c>
    </row>
    <row r="12" spans="1:6" x14ac:dyDescent="0.25">
      <c r="D12" s="26" t="s">
        <v>151</v>
      </c>
      <c r="F12" s="26">
        <f>SUM(F7:F10)</f>
        <v>27.299999999999997</v>
      </c>
    </row>
    <row r="14" spans="1:6" x14ac:dyDescent="0.25">
      <c r="A14" s="89" t="s">
        <v>158</v>
      </c>
      <c r="B14" s="89"/>
      <c r="C14" s="90"/>
      <c r="D14" s="90"/>
      <c r="E14" s="91">
        <f>F3-F12</f>
        <v>210</v>
      </c>
      <c r="F14" s="90" t="s">
        <v>21</v>
      </c>
    </row>
    <row r="15" spans="1:6" x14ac:dyDescent="0.25">
      <c r="A15" s="89" t="s">
        <v>159</v>
      </c>
    </row>
    <row r="17" spans="1:6" x14ac:dyDescent="0.25">
      <c r="A17" s="89" t="s">
        <v>154</v>
      </c>
      <c r="B17" s="89"/>
    </row>
    <row r="19" spans="1:6" x14ac:dyDescent="0.25">
      <c r="A19" t="s">
        <v>86</v>
      </c>
      <c r="C19" s="26">
        <v>13.95</v>
      </c>
      <c r="D19" s="26">
        <v>2</v>
      </c>
      <c r="E19" s="26">
        <f>C19*D19</f>
        <v>27.9</v>
      </c>
    </row>
    <row r="20" spans="1:6" x14ac:dyDescent="0.25">
      <c r="A20" t="s">
        <v>89</v>
      </c>
      <c r="C20" s="26">
        <v>9.85</v>
      </c>
      <c r="D20" s="26">
        <v>3.1</v>
      </c>
      <c r="E20" s="26">
        <f t="shared" ref="E20:E21" si="1">C20*D20</f>
        <v>30.535</v>
      </c>
    </row>
    <row r="21" spans="1:6" x14ac:dyDescent="0.25">
      <c r="A21" t="s">
        <v>88</v>
      </c>
      <c r="C21" s="26">
        <v>1.85</v>
      </c>
      <c r="D21" s="26">
        <v>3.5</v>
      </c>
      <c r="E21" s="26">
        <f t="shared" si="1"/>
        <v>6.4750000000000005</v>
      </c>
    </row>
    <row r="22" spans="1:6" x14ac:dyDescent="0.25">
      <c r="A22" t="s">
        <v>155</v>
      </c>
      <c r="C22" s="26">
        <v>1.7</v>
      </c>
      <c r="D22" s="26">
        <v>3.5</v>
      </c>
      <c r="E22" s="26">
        <f>D22*C22</f>
        <v>5.95</v>
      </c>
    </row>
    <row r="23" spans="1:6" x14ac:dyDescent="0.25">
      <c r="A23" t="s">
        <v>155</v>
      </c>
      <c r="C23" s="26">
        <v>1.2</v>
      </c>
      <c r="D23" s="26">
        <v>3.5</v>
      </c>
      <c r="E23" s="26">
        <f>D23*C23</f>
        <v>4.2</v>
      </c>
    </row>
    <row r="25" spans="1:6" x14ac:dyDescent="0.25">
      <c r="A25" t="s">
        <v>152</v>
      </c>
      <c r="E25" s="26">
        <f>SUM(E19:E23)</f>
        <v>75.06</v>
      </c>
      <c r="F25" s="26" t="s">
        <v>14</v>
      </c>
    </row>
    <row r="27" spans="1:6" x14ac:dyDescent="0.25">
      <c r="A27" t="s">
        <v>150</v>
      </c>
      <c r="C27" s="26">
        <v>1.7</v>
      </c>
      <c r="D27" s="26">
        <v>2.1</v>
      </c>
      <c r="E27" s="26">
        <f>D27*C27</f>
        <v>3.57</v>
      </c>
    </row>
    <row r="28" spans="1:6" x14ac:dyDescent="0.25">
      <c r="C28" s="26">
        <v>0.9</v>
      </c>
      <c r="D28" s="26">
        <v>2.1</v>
      </c>
      <c r="E28" s="26">
        <f t="shared" ref="E28:E32" si="2">D28*C28</f>
        <v>1.8900000000000001</v>
      </c>
    </row>
    <row r="29" spans="1:6" x14ac:dyDescent="0.25">
      <c r="C29" s="26">
        <v>1.2</v>
      </c>
      <c r="D29" s="26">
        <v>1</v>
      </c>
      <c r="E29" s="26">
        <f t="shared" si="2"/>
        <v>1.2</v>
      </c>
    </row>
    <row r="30" spans="1:6" x14ac:dyDescent="0.25">
      <c r="C30" s="26">
        <v>1.5</v>
      </c>
      <c r="D30" s="26">
        <v>1</v>
      </c>
      <c r="E30" s="26">
        <f t="shared" si="2"/>
        <v>1.5</v>
      </c>
    </row>
    <row r="31" spans="1:6" x14ac:dyDescent="0.25">
      <c r="A31" t="s">
        <v>156</v>
      </c>
      <c r="C31" s="26">
        <v>1.7</v>
      </c>
      <c r="D31" s="26">
        <v>2.1</v>
      </c>
      <c r="E31" s="26">
        <f t="shared" si="2"/>
        <v>3.57</v>
      </c>
    </row>
    <row r="32" spans="1:6" x14ac:dyDescent="0.25">
      <c r="C32" s="26">
        <v>1.2</v>
      </c>
      <c r="D32" s="26">
        <v>2.1</v>
      </c>
      <c r="E32" s="26">
        <f t="shared" si="2"/>
        <v>2.52</v>
      </c>
    </row>
    <row r="34" spans="1:10" x14ac:dyDescent="0.25">
      <c r="B34" s="26"/>
      <c r="C34" s="26" t="s">
        <v>157</v>
      </c>
      <c r="E34" s="26">
        <f>SUM(E27:E32)</f>
        <v>14.25</v>
      </c>
      <c r="F34" s="26" t="s">
        <v>14</v>
      </c>
    </row>
    <row r="36" spans="1:10" x14ac:dyDescent="0.25">
      <c r="A36" s="89" t="s">
        <v>153</v>
      </c>
      <c r="B36" s="89"/>
      <c r="C36" s="90"/>
      <c r="D36" s="90"/>
      <c r="E36" s="90">
        <f>E25-E34</f>
        <v>60.81</v>
      </c>
      <c r="F36" s="90" t="s">
        <v>21</v>
      </c>
    </row>
    <row r="37" spans="1:10" x14ac:dyDescent="0.25">
      <c r="A37" s="89" t="s">
        <v>77</v>
      </c>
    </row>
    <row r="40" spans="1:10" x14ac:dyDescent="0.25">
      <c r="A40" s="89" t="s">
        <v>160</v>
      </c>
    </row>
    <row r="42" spans="1:10" x14ac:dyDescent="0.25">
      <c r="A42" s="89" t="s">
        <v>161</v>
      </c>
      <c r="B42" s="89"/>
      <c r="C42" s="90"/>
      <c r="D42" s="90"/>
      <c r="E42" s="90"/>
      <c r="G42" s="89" t="s">
        <v>165</v>
      </c>
    </row>
    <row r="43" spans="1:10" x14ac:dyDescent="0.25">
      <c r="A43" t="s">
        <v>162</v>
      </c>
      <c r="B43">
        <v>54.72</v>
      </c>
      <c r="G43" t="s">
        <v>166</v>
      </c>
      <c r="H43">
        <v>7.2</v>
      </c>
      <c r="I43">
        <v>1</v>
      </c>
      <c r="J43">
        <f>I43*H43</f>
        <v>7.2</v>
      </c>
    </row>
    <row r="44" spans="1:10" x14ac:dyDescent="0.25">
      <c r="A44" t="s">
        <v>163</v>
      </c>
      <c r="B44">
        <v>3.2</v>
      </c>
      <c r="H44">
        <v>7.2</v>
      </c>
      <c r="I44">
        <v>1</v>
      </c>
      <c r="J44">
        <f>I44*H44</f>
        <v>7.2</v>
      </c>
    </row>
    <row r="45" spans="1:10" x14ac:dyDescent="0.25">
      <c r="B45">
        <v>3.2</v>
      </c>
      <c r="H45">
        <v>8.1999999999999993</v>
      </c>
      <c r="I45">
        <v>1</v>
      </c>
      <c r="J45">
        <f t="shared" ref="J45:J46" si="3">I45*H45</f>
        <v>8.1999999999999993</v>
      </c>
    </row>
    <row r="46" spans="1:10" x14ac:dyDescent="0.25">
      <c r="B46">
        <v>8.4</v>
      </c>
      <c r="H46">
        <v>5.6</v>
      </c>
      <c r="I46">
        <v>1</v>
      </c>
      <c r="J46">
        <f t="shared" si="3"/>
        <v>5.6</v>
      </c>
    </row>
    <row r="47" spans="1:10" x14ac:dyDescent="0.25">
      <c r="B47">
        <v>7.05</v>
      </c>
    </row>
    <row r="48" spans="1:10" x14ac:dyDescent="0.25">
      <c r="B48">
        <v>6</v>
      </c>
      <c r="G48" t="s">
        <v>167</v>
      </c>
    </row>
    <row r="49" spans="1:10" x14ac:dyDescent="0.25">
      <c r="B49">
        <v>8.1</v>
      </c>
      <c r="H49">
        <v>63.2</v>
      </c>
      <c r="I49">
        <v>3</v>
      </c>
      <c r="J49">
        <f t="shared" ref="J49:J63" si="4">I49*H49</f>
        <v>189.60000000000002</v>
      </c>
    </row>
    <row r="50" spans="1:10" x14ac:dyDescent="0.25">
      <c r="B50">
        <v>8.4</v>
      </c>
      <c r="H50">
        <v>11.6</v>
      </c>
      <c r="I50">
        <v>3</v>
      </c>
      <c r="J50">
        <f t="shared" si="4"/>
        <v>34.799999999999997</v>
      </c>
    </row>
    <row r="51" spans="1:10" x14ac:dyDescent="0.25">
      <c r="B51">
        <v>9</v>
      </c>
      <c r="H51">
        <v>10.7</v>
      </c>
      <c r="I51">
        <v>3</v>
      </c>
      <c r="J51">
        <f t="shared" si="4"/>
        <v>32.099999999999994</v>
      </c>
    </row>
    <row r="52" spans="1:10" x14ac:dyDescent="0.25">
      <c r="B52">
        <v>3.3</v>
      </c>
      <c r="H52">
        <v>10</v>
      </c>
      <c r="I52">
        <v>3</v>
      </c>
      <c r="J52">
        <f t="shared" si="4"/>
        <v>30</v>
      </c>
    </row>
    <row r="53" spans="1:10" x14ac:dyDescent="0.25">
      <c r="B53">
        <v>5</v>
      </c>
      <c r="H53">
        <v>11.4</v>
      </c>
      <c r="I53">
        <v>3</v>
      </c>
      <c r="J53">
        <f t="shared" si="4"/>
        <v>34.200000000000003</v>
      </c>
    </row>
    <row r="54" spans="1:10" x14ac:dyDescent="0.25">
      <c r="B54">
        <v>1.68</v>
      </c>
      <c r="H54">
        <v>11.6</v>
      </c>
      <c r="I54">
        <v>3</v>
      </c>
      <c r="J54">
        <f t="shared" si="4"/>
        <v>34.799999999999997</v>
      </c>
    </row>
    <row r="55" spans="1:10" x14ac:dyDescent="0.25">
      <c r="B55">
        <v>7.05</v>
      </c>
      <c r="H55">
        <v>12</v>
      </c>
      <c r="I55">
        <v>3</v>
      </c>
      <c r="J55">
        <f t="shared" si="4"/>
        <v>36</v>
      </c>
    </row>
    <row r="56" spans="1:10" x14ac:dyDescent="0.25">
      <c r="B56">
        <v>1.38</v>
      </c>
      <c r="H56">
        <v>9.1</v>
      </c>
      <c r="I56">
        <v>3</v>
      </c>
      <c r="J56">
        <f t="shared" si="4"/>
        <v>27.299999999999997</v>
      </c>
    </row>
    <row r="57" spans="1:10" x14ac:dyDescent="0.25">
      <c r="B57">
        <v>1.9</v>
      </c>
      <c r="H57">
        <v>5.2</v>
      </c>
      <c r="I57">
        <v>3</v>
      </c>
      <c r="J57">
        <f t="shared" si="4"/>
        <v>15.600000000000001</v>
      </c>
    </row>
    <row r="58" spans="1:10" x14ac:dyDescent="0.25">
      <c r="B58">
        <v>8.4</v>
      </c>
      <c r="H58">
        <v>10.7</v>
      </c>
      <c r="I58">
        <v>3</v>
      </c>
      <c r="J58">
        <f t="shared" si="4"/>
        <v>32.099999999999994</v>
      </c>
    </row>
    <row r="59" spans="1:10" x14ac:dyDescent="0.25">
      <c r="B59">
        <v>8.4</v>
      </c>
      <c r="H59">
        <v>11.6</v>
      </c>
      <c r="I59">
        <v>3</v>
      </c>
      <c r="J59">
        <f t="shared" si="4"/>
        <v>34.799999999999997</v>
      </c>
    </row>
    <row r="60" spans="1:10" x14ac:dyDescent="0.25">
      <c r="B60">
        <v>9.6</v>
      </c>
      <c r="H60">
        <v>11.6</v>
      </c>
      <c r="I60">
        <v>3</v>
      </c>
      <c r="J60">
        <f t="shared" si="4"/>
        <v>34.799999999999997</v>
      </c>
    </row>
    <row r="61" spans="1:10" x14ac:dyDescent="0.25">
      <c r="B61">
        <v>7.05</v>
      </c>
      <c r="H61">
        <v>12.4</v>
      </c>
      <c r="I61">
        <v>3</v>
      </c>
      <c r="J61">
        <f t="shared" si="4"/>
        <v>37.200000000000003</v>
      </c>
    </row>
    <row r="62" spans="1:10" x14ac:dyDescent="0.25">
      <c r="B62">
        <v>8.4</v>
      </c>
      <c r="H62">
        <v>10.7</v>
      </c>
      <c r="I62">
        <v>3</v>
      </c>
      <c r="J62">
        <f t="shared" si="4"/>
        <v>32.099999999999994</v>
      </c>
    </row>
    <row r="63" spans="1:10" x14ac:dyDescent="0.25">
      <c r="H63">
        <v>11.6</v>
      </c>
      <c r="I63">
        <v>3</v>
      </c>
      <c r="J63">
        <f t="shared" si="4"/>
        <v>34.799999999999997</v>
      </c>
    </row>
    <row r="64" spans="1:10" x14ac:dyDescent="0.25">
      <c r="A64" s="89" t="s">
        <v>172</v>
      </c>
      <c r="B64" s="89"/>
      <c r="C64" s="90"/>
      <c r="D64" s="90">
        <f>SUM(B43:B62)</f>
        <v>170.23000000000002</v>
      </c>
      <c r="E64" s="90" t="s">
        <v>21</v>
      </c>
      <c r="F64" s="90"/>
    </row>
    <row r="65" spans="1:17" x14ac:dyDescent="0.25">
      <c r="G65" t="s">
        <v>168</v>
      </c>
      <c r="J65">
        <f>SUM(J43:J63)</f>
        <v>668.4</v>
      </c>
    </row>
    <row r="67" spans="1:17" x14ac:dyDescent="0.25">
      <c r="G67" t="s">
        <v>150</v>
      </c>
      <c r="I67">
        <v>1.5</v>
      </c>
      <c r="J67">
        <v>1</v>
      </c>
      <c r="K67">
        <v>13</v>
      </c>
      <c r="L67">
        <f>I67*J67*K67</f>
        <v>19.5</v>
      </c>
      <c r="N67" t="s">
        <v>170</v>
      </c>
    </row>
    <row r="68" spans="1:17" x14ac:dyDescent="0.25">
      <c r="I68">
        <v>1.2</v>
      </c>
      <c r="J68">
        <v>1</v>
      </c>
      <c r="K68">
        <v>2</v>
      </c>
      <c r="L68">
        <f t="shared" ref="L68:L69" si="5">I68*J68*K68</f>
        <v>2.4</v>
      </c>
      <c r="N68">
        <v>1.2</v>
      </c>
      <c r="O68">
        <v>2.1</v>
      </c>
      <c r="Q68">
        <f>O68*N68</f>
        <v>2.52</v>
      </c>
    </row>
    <row r="69" spans="1:17" x14ac:dyDescent="0.25">
      <c r="I69">
        <v>1.2</v>
      </c>
      <c r="J69">
        <v>2.1</v>
      </c>
      <c r="K69">
        <v>1</v>
      </c>
      <c r="L69">
        <f t="shared" si="5"/>
        <v>2.52</v>
      </c>
      <c r="N69">
        <v>0.9</v>
      </c>
      <c r="O69">
        <v>2.1</v>
      </c>
      <c r="P69">
        <v>33</v>
      </c>
      <c r="Q69">
        <f>P69*O69*N69</f>
        <v>62.37</v>
      </c>
    </row>
    <row r="71" spans="1:17" x14ac:dyDescent="0.25">
      <c r="G71" t="s">
        <v>151</v>
      </c>
      <c r="L71">
        <f>L69+L68+L67+Q68+Q69</f>
        <v>89.31</v>
      </c>
    </row>
    <row r="73" spans="1:17" x14ac:dyDescent="0.25">
      <c r="G73" s="89" t="s">
        <v>169</v>
      </c>
      <c r="H73" s="89"/>
      <c r="I73" s="90"/>
      <c r="J73" s="90"/>
      <c r="K73" s="90">
        <f>J65-L71</f>
        <v>579.08999999999992</v>
      </c>
      <c r="L73" s="90" t="s">
        <v>21</v>
      </c>
    </row>
    <row r="76" spans="1:17" x14ac:dyDescent="0.25">
      <c r="A76" s="89" t="s">
        <v>174</v>
      </c>
    </row>
    <row r="77" spans="1:17" x14ac:dyDescent="0.25">
      <c r="A77" s="89"/>
    </row>
    <row r="78" spans="1:17" x14ac:dyDescent="0.25">
      <c r="A78" t="s">
        <v>175</v>
      </c>
    </row>
    <row r="79" spans="1:17" x14ac:dyDescent="0.25">
      <c r="A79">
        <v>9.5</v>
      </c>
      <c r="B79">
        <v>3</v>
      </c>
      <c r="C79" s="26">
        <f>B79*A79</f>
        <v>28.5</v>
      </c>
    </row>
    <row r="80" spans="1:17" x14ac:dyDescent="0.25">
      <c r="A80">
        <v>15.8</v>
      </c>
      <c r="B80">
        <v>3</v>
      </c>
      <c r="C80" s="26">
        <f t="shared" ref="C80:C83" si="6">B80*A80</f>
        <v>47.400000000000006</v>
      </c>
    </row>
    <row r="81" spans="1:7" x14ac:dyDescent="0.25">
      <c r="A81">
        <v>5.95</v>
      </c>
      <c r="B81">
        <v>3</v>
      </c>
      <c r="C81" s="26">
        <f t="shared" si="6"/>
        <v>17.850000000000001</v>
      </c>
    </row>
    <row r="82" spans="1:7" x14ac:dyDescent="0.25">
      <c r="A82">
        <v>5.95</v>
      </c>
      <c r="B82">
        <v>3</v>
      </c>
      <c r="C82" s="26">
        <f t="shared" si="6"/>
        <v>17.850000000000001</v>
      </c>
    </row>
    <row r="83" spans="1:7" x14ac:dyDescent="0.25">
      <c r="A83">
        <v>6.1</v>
      </c>
      <c r="B83">
        <v>3</v>
      </c>
      <c r="C83" s="26">
        <f t="shared" si="6"/>
        <v>18.299999999999997</v>
      </c>
    </row>
    <row r="85" spans="1:7" x14ac:dyDescent="0.25">
      <c r="A85" t="s">
        <v>168</v>
      </c>
      <c r="C85"/>
      <c r="D85">
        <f>SUM(C79:C83)</f>
        <v>129.89999999999998</v>
      </c>
      <c r="E85" s="26" t="s">
        <v>14</v>
      </c>
    </row>
    <row r="87" spans="1:7" x14ac:dyDescent="0.25">
      <c r="A87" t="s">
        <v>150</v>
      </c>
      <c r="C87" s="26">
        <v>1.2</v>
      </c>
      <c r="D87" s="26">
        <v>1</v>
      </c>
      <c r="E87" s="26">
        <v>3</v>
      </c>
      <c r="F87" s="26">
        <f>E87*D87*C87</f>
        <v>3.5999999999999996</v>
      </c>
    </row>
    <row r="88" spans="1:7" x14ac:dyDescent="0.25">
      <c r="C88" s="26">
        <v>1.5</v>
      </c>
      <c r="D88" s="26">
        <v>1</v>
      </c>
      <c r="E88" s="26">
        <v>2</v>
      </c>
      <c r="F88" s="26">
        <f t="shared" ref="F88:F91" si="7">E88*D88*C88</f>
        <v>3</v>
      </c>
    </row>
    <row r="89" spans="1:7" x14ac:dyDescent="0.25">
      <c r="C89" s="26">
        <v>0.9</v>
      </c>
      <c r="D89" s="26">
        <v>2.1</v>
      </c>
      <c r="E89" s="26">
        <v>3</v>
      </c>
      <c r="F89" s="26">
        <f t="shared" si="7"/>
        <v>5.6700000000000008</v>
      </c>
    </row>
    <row r="90" spans="1:7" x14ac:dyDescent="0.25">
      <c r="C90" s="26">
        <v>0.8</v>
      </c>
      <c r="D90" s="26">
        <v>2.1</v>
      </c>
      <c r="E90" s="26">
        <v>4</v>
      </c>
      <c r="F90" s="26">
        <f t="shared" si="7"/>
        <v>6.7200000000000006</v>
      </c>
    </row>
    <row r="91" spans="1:7" x14ac:dyDescent="0.25">
      <c r="C91" s="26">
        <v>1.7</v>
      </c>
      <c r="D91" s="26">
        <v>2.1</v>
      </c>
      <c r="E91" s="26">
        <v>1</v>
      </c>
      <c r="F91" s="26">
        <f t="shared" si="7"/>
        <v>3.57</v>
      </c>
    </row>
    <row r="93" spans="1:7" x14ac:dyDescent="0.25">
      <c r="C93" t="s">
        <v>151</v>
      </c>
      <c r="F93" s="26">
        <f>SUM(F87:F91)</f>
        <v>22.560000000000002</v>
      </c>
      <c r="G93" t="s">
        <v>14</v>
      </c>
    </row>
    <row r="95" spans="1:7" x14ac:dyDescent="0.25">
      <c r="A95" s="89" t="s">
        <v>169</v>
      </c>
      <c r="B95" s="89"/>
      <c r="C95" s="90"/>
      <c r="D95" s="90"/>
      <c r="E95" s="90">
        <f>D85-F93</f>
        <v>107.33999999999997</v>
      </c>
      <c r="F95" s="90" t="s">
        <v>21</v>
      </c>
    </row>
    <row r="97" spans="1:7" x14ac:dyDescent="0.25">
      <c r="A97" t="s">
        <v>161</v>
      </c>
      <c r="B97">
        <v>7.06</v>
      </c>
    </row>
    <row r="98" spans="1:7" x14ac:dyDescent="0.25">
      <c r="B98">
        <v>4.26</v>
      </c>
    </row>
    <row r="99" spans="1:7" x14ac:dyDescent="0.25">
      <c r="B99">
        <v>15.6</v>
      </c>
    </row>
    <row r="100" spans="1:7" x14ac:dyDescent="0.25">
      <c r="B100">
        <v>4.33</v>
      </c>
    </row>
    <row r="101" spans="1:7" x14ac:dyDescent="0.25">
      <c r="B101">
        <v>4.33</v>
      </c>
    </row>
    <row r="103" spans="1:7" x14ac:dyDescent="0.25">
      <c r="A103" s="89" t="s">
        <v>172</v>
      </c>
      <c r="B103" s="89"/>
      <c r="C103" s="90"/>
      <c r="D103" s="90">
        <f>SUM(B97:B101)</f>
        <v>35.58</v>
      </c>
      <c r="E103" s="90" t="s">
        <v>21</v>
      </c>
    </row>
    <row r="106" spans="1:7" x14ac:dyDescent="0.25">
      <c r="A106" s="89" t="s">
        <v>176</v>
      </c>
      <c r="B106" s="89"/>
      <c r="C106" s="90"/>
      <c r="D106" s="90"/>
      <c r="E106" s="90"/>
      <c r="F106" s="90">
        <f>E108+E109</f>
        <v>10.5</v>
      </c>
      <c r="G106" s="89" t="s">
        <v>21</v>
      </c>
    </row>
    <row r="107" spans="1:7" x14ac:dyDescent="0.25">
      <c r="A107" s="89"/>
      <c r="B107" s="89"/>
      <c r="C107" s="90"/>
      <c r="D107" s="90"/>
      <c r="E107" s="90"/>
      <c r="F107" s="90"/>
    </row>
    <row r="108" spans="1:7" x14ac:dyDescent="0.25">
      <c r="A108">
        <v>0.9</v>
      </c>
      <c r="B108">
        <v>2.1</v>
      </c>
      <c r="C108" s="26">
        <v>1</v>
      </c>
      <c r="D108" s="26">
        <v>2</v>
      </c>
      <c r="E108" s="26">
        <f>D108*C108*B108*A108</f>
        <v>3.7800000000000002</v>
      </c>
    </row>
    <row r="109" spans="1:7" x14ac:dyDescent="0.25">
      <c r="A109">
        <v>0.8</v>
      </c>
      <c r="B109">
        <v>2.1</v>
      </c>
      <c r="C109" s="26">
        <v>2</v>
      </c>
      <c r="D109" s="26">
        <v>2</v>
      </c>
      <c r="E109" s="26">
        <f>D109*C109*B109*A109</f>
        <v>6.7200000000000006</v>
      </c>
    </row>
    <row r="112" spans="1:7" x14ac:dyDescent="0.25">
      <c r="A112" t="s">
        <v>178</v>
      </c>
    </row>
    <row r="114" spans="1:8" x14ac:dyDescent="0.25">
      <c r="A114" t="s">
        <v>179</v>
      </c>
      <c r="B114" s="26">
        <v>0.8</v>
      </c>
      <c r="C114" s="26">
        <v>0.6</v>
      </c>
      <c r="D114" s="26">
        <v>6</v>
      </c>
      <c r="E114" s="26">
        <f>D114*C114*B114</f>
        <v>2.88</v>
      </c>
    </row>
    <row r="115" spans="1:8" x14ac:dyDescent="0.25">
      <c r="A115" t="s">
        <v>180</v>
      </c>
      <c r="B115" s="26">
        <v>1.5</v>
      </c>
      <c r="C115" s="26">
        <v>1</v>
      </c>
      <c r="D115" s="26">
        <v>13</v>
      </c>
      <c r="E115" s="26">
        <f t="shared" ref="E115:E117" si="8">D115*C115*B115</f>
        <v>19.5</v>
      </c>
    </row>
    <row r="116" spans="1:8" x14ac:dyDescent="0.25">
      <c r="B116" s="26">
        <v>1.2</v>
      </c>
      <c r="C116" s="26">
        <v>1</v>
      </c>
      <c r="D116" s="26">
        <v>2</v>
      </c>
      <c r="E116" s="26">
        <f t="shared" si="8"/>
        <v>2.4</v>
      </c>
    </row>
    <row r="117" spans="1:8" x14ac:dyDescent="0.25">
      <c r="B117" s="26">
        <v>1.2</v>
      </c>
      <c r="C117" s="26">
        <v>2.1</v>
      </c>
      <c r="D117" s="26">
        <v>1</v>
      </c>
      <c r="E117" s="26">
        <f t="shared" si="8"/>
        <v>2.52</v>
      </c>
    </row>
    <row r="118" spans="1:8" x14ac:dyDescent="0.25">
      <c r="B118" s="26"/>
    </row>
    <row r="119" spans="1:8" x14ac:dyDescent="0.25">
      <c r="B119" s="90"/>
      <c r="C119" s="90" t="s">
        <v>151</v>
      </c>
      <c r="D119" s="90"/>
      <c r="E119" s="90">
        <f>SUM(E114:E117)</f>
        <v>27.299999999999997</v>
      </c>
      <c r="F119" s="90">
        <v>2</v>
      </c>
      <c r="G119" s="92">
        <f>F119*E119</f>
        <v>54.599999999999994</v>
      </c>
      <c r="H119" s="92" t="s">
        <v>14</v>
      </c>
    </row>
    <row r="121" spans="1:8" x14ac:dyDescent="0.25">
      <c r="A121" t="s">
        <v>181</v>
      </c>
    </row>
    <row r="122" spans="1:8" x14ac:dyDescent="0.25">
      <c r="B122">
        <v>0.8</v>
      </c>
      <c r="C122" s="26">
        <v>2.1</v>
      </c>
      <c r="D122" s="26">
        <v>7</v>
      </c>
      <c r="E122" s="26">
        <f>D122*C122*B122</f>
        <v>11.760000000000002</v>
      </c>
    </row>
    <row r="123" spans="1:8" x14ac:dyDescent="0.25">
      <c r="B123">
        <v>0.9</v>
      </c>
      <c r="C123" s="26">
        <v>2.1</v>
      </c>
      <c r="D123" s="26">
        <v>11</v>
      </c>
      <c r="E123" s="26">
        <f t="shared" ref="E123:E124" si="9">D123*C123*B123</f>
        <v>20.790000000000003</v>
      </c>
    </row>
    <row r="124" spans="1:8" x14ac:dyDescent="0.25">
      <c r="B124">
        <v>0.7</v>
      </c>
      <c r="C124" s="26">
        <v>2.1</v>
      </c>
      <c r="D124" s="26">
        <v>1</v>
      </c>
      <c r="E124" s="26">
        <f t="shared" si="9"/>
        <v>1.47</v>
      </c>
    </row>
    <row r="126" spans="1:8" x14ac:dyDescent="0.25">
      <c r="B126" s="90"/>
      <c r="C126" s="90" t="s">
        <v>182</v>
      </c>
      <c r="D126" s="90"/>
      <c r="E126" s="90">
        <f>SUM(E122:E124)</f>
        <v>34.020000000000003</v>
      </c>
      <c r="F126" s="90">
        <v>2</v>
      </c>
      <c r="G126" s="92">
        <f>E126*F126</f>
        <v>68.040000000000006</v>
      </c>
      <c r="H126" s="92" t="s">
        <v>14</v>
      </c>
    </row>
  </sheetData>
  <mergeCells count="1">
    <mergeCell ref="D3:E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activeCell="C21" sqref="C21"/>
    </sheetView>
  </sheetViews>
  <sheetFormatPr defaultRowHeight="15" x14ac:dyDescent="0.25"/>
  <cols>
    <col min="1" max="1" width="16.5703125" customWidth="1"/>
    <col min="4" max="4" width="54" customWidth="1"/>
  </cols>
  <sheetData>
    <row r="1" spans="1:4" x14ac:dyDescent="0.25">
      <c r="A1" t="s">
        <v>85</v>
      </c>
    </row>
    <row r="3" spans="1:4" x14ac:dyDescent="0.25">
      <c r="A3" t="s">
        <v>86</v>
      </c>
      <c r="B3">
        <f>24.25*3.4*2</f>
        <v>164.9</v>
      </c>
      <c r="C3" t="s">
        <v>14</v>
      </c>
      <c r="D3" t="s">
        <v>87</v>
      </c>
    </row>
    <row r="4" spans="1:4" x14ac:dyDescent="0.25">
      <c r="A4" t="s">
        <v>88</v>
      </c>
      <c r="B4">
        <v>33.36</v>
      </c>
      <c r="C4" t="s">
        <v>14</v>
      </c>
    </row>
    <row r="5" spans="1:4" x14ac:dyDescent="0.25">
      <c r="A5" t="s">
        <v>89</v>
      </c>
      <c r="B5">
        <v>28.56</v>
      </c>
      <c r="C5" t="s">
        <v>14</v>
      </c>
    </row>
    <row r="7" spans="1:4" x14ac:dyDescent="0.25">
      <c r="A7" t="s">
        <v>83</v>
      </c>
      <c r="B7">
        <f>B3+B4+B5</f>
        <v>226.82</v>
      </c>
      <c r="C7" t="s">
        <v>14</v>
      </c>
    </row>
    <row r="10" spans="1:4" x14ac:dyDescent="0.25">
      <c r="A10" t="s">
        <v>90</v>
      </c>
    </row>
    <row r="12" spans="1:4" x14ac:dyDescent="0.25">
      <c r="A12" t="s">
        <v>91</v>
      </c>
      <c r="B12">
        <v>194</v>
      </c>
      <c r="C12" t="s">
        <v>14</v>
      </c>
    </row>
    <row r="14" spans="1:4" x14ac:dyDescent="0.25">
      <c r="A14" t="s">
        <v>96</v>
      </c>
    </row>
    <row r="15" spans="1:4" x14ac:dyDescent="0.25">
      <c r="A15" t="s">
        <v>92</v>
      </c>
      <c r="B15">
        <f>63.2*2</f>
        <v>126.4</v>
      </c>
      <c r="C15" t="s">
        <v>14</v>
      </c>
      <c r="D15" t="s">
        <v>94</v>
      </c>
    </row>
    <row r="16" spans="1:4" x14ac:dyDescent="0.25">
      <c r="A16" t="s">
        <v>93</v>
      </c>
      <c r="B16">
        <f>63.2*1</f>
        <v>63.2</v>
      </c>
      <c r="C16" t="s">
        <v>14</v>
      </c>
      <c r="D16" t="s">
        <v>95</v>
      </c>
    </row>
    <row r="19" spans="1:3" x14ac:dyDescent="0.25">
      <c r="A19" t="s">
        <v>97</v>
      </c>
      <c r="B19">
        <f>B16+B12+B7</f>
        <v>484.02</v>
      </c>
      <c r="C19" t="s">
        <v>14</v>
      </c>
    </row>
    <row r="20" spans="1:3" x14ac:dyDescent="0.25">
      <c r="A20" t="s">
        <v>98</v>
      </c>
      <c r="B20">
        <f>B15</f>
        <v>126.4</v>
      </c>
      <c r="C20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CRONOGRAMA</vt:lpstr>
      <vt:lpstr>PLANILHA</vt:lpstr>
      <vt:lpstr>MEMÓRIA</vt:lpstr>
      <vt:lpstr>PINTURA TOTAL</vt:lpstr>
      <vt:lpstr>pintura</vt:lpstr>
      <vt:lpstr>CRONOGRAMA!Area_de_impressao</vt:lpstr>
      <vt:lpstr>MEMÓRIA!Area_de_impressao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Secretaria de Turismo e Cultura - Tietê</cp:lastModifiedBy>
  <cp:lastPrinted>2024-08-29T16:34:12Z</cp:lastPrinted>
  <dcterms:created xsi:type="dcterms:W3CDTF">2022-07-04T16:22:37Z</dcterms:created>
  <dcterms:modified xsi:type="dcterms:W3CDTF">2024-10-18T13:54:32Z</dcterms:modified>
</cp:coreProperties>
</file>