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Obras\Pregão 08 -2025 - Reforma do Velório Municipal - 1Doc 9.130-2022\"/>
    </mc:Choice>
  </mc:AlternateContent>
  <xr:revisionPtr revIDLastSave="0" documentId="8_{7047874F-5CB5-4B6D-9669-3BB32726E5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ilha1 (2)" sheetId="4" r:id="rId1"/>
    <sheet name="Planilha1" sheetId="1" r:id="rId2"/>
    <sheet name="MEMÓRIA" sheetId="3" r:id="rId3"/>
  </sheets>
  <externalReferences>
    <externalReference r:id="rId4"/>
  </externalReferences>
  <definedNames>
    <definedName name="_xlnm.Print_Area" localSheetId="2">MEMÓRIA!$A$1:$E$72</definedName>
    <definedName name="_xlnm.Print_Area" localSheetId="1">Planilha1!$A$1:$I$111</definedName>
    <definedName name="_xlnm.Print_Area" localSheetId="0">'Planilha1 (2)'!$A$1:$F$30</definedName>
    <definedName name="brasao">INDEX([1]INFO!$B$47:$D$76,[1]INFO!$F$47,3)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3" l="1"/>
  <c r="F98" i="1" s="1"/>
  <c r="H98" i="1"/>
  <c r="D6" i="3"/>
  <c r="F101" i="1"/>
  <c r="F100" i="1"/>
  <c r="D89" i="3"/>
  <c r="D88" i="3"/>
  <c r="D87" i="3" s="1"/>
  <c r="F99" i="1" s="1"/>
  <c r="H100" i="1"/>
  <c r="H99" i="1"/>
  <c r="F97" i="1"/>
  <c r="G97" i="1"/>
  <c r="I98" i="1" l="1"/>
  <c r="I100" i="1"/>
  <c r="I99" i="1"/>
  <c r="H101" i="1"/>
  <c r="I101" i="1" s="1"/>
  <c r="H97" i="1"/>
  <c r="I97" i="1" s="1"/>
  <c r="D70" i="3"/>
  <c r="I96" i="1" l="1"/>
  <c r="C21" i="4" s="1"/>
  <c r="D21" i="4" s="1"/>
  <c r="F88" i="1"/>
  <c r="D71" i="3"/>
  <c r="F61" i="1"/>
  <c r="F60" i="1"/>
  <c r="F59" i="1"/>
  <c r="F58" i="1"/>
  <c r="F56" i="1"/>
  <c r="F55" i="1"/>
  <c r="F53" i="1"/>
  <c r="F52" i="1"/>
  <c r="F51" i="1"/>
  <c r="F50" i="1"/>
  <c r="F49" i="1"/>
  <c r="F26" i="1"/>
  <c r="D68" i="3"/>
  <c r="D82" i="3" s="1"/>
  <c r="F94" i="1" s="1"/>
  <c r="H80" i="1"/>
  <c r="F80" i="1" l="1"/>
  <c r="I80" i="1" s="1"/>
  <c r="D13" i="3"/>
  <c r="D26" i="3" s="1"/>
  <c r="F38" i="1" s="1"/>
  <c r="D33" i="3"/>
  <c r="F47" i="1"/>
  <c r="F45" i="1"/>
  <c r="F41" i="1"/>
  <c r="F40" i="1"/>
  <c r="D32" i="3" l="1"/>
  <c r="F44" i="1" s="1"/>
  <c r="D31" i="3"/>
  <c r="F43" i="1" s="1"/>
  <c r="D15" i="3"/>
  <c r="F27" i="1" s="1"/>
  <c r="D20" i="3"/>
  <c r="D19" i="3"/>
  <c r="D81" i="3"/>
  <c r="F93" i="1" s="1"/>
  <c r="D75" i="3"/>
  <c r="F87" i="1" s="1"/>
  <c r="D74" i="3"/>
  <c r="H95" i="1"/>
  <c r="H94" i="1"/>
  <c r="I94" i="1" s="1"/>
  <c r="H93" i="1"/>
  <c r="D79" i="3" l="1"/>
  <c r="F91" i="1" s="1"/>
  <c r="D78" i="3"/>
  <c r="F90" i="1" s="1"/>
  <c r="F86" i="1"/>
  <c r="D77" i="3"/>
  <c r="F89" i="1" s="1"/>
  <c r="I93" i="1"/>
  <c r="D24" i="3"/>
  <c r="F32" i="1"/>
  <c r="D23" i="3"/>
  <c r="D25" i="3"/>
  <c r="D34" i="3"/>
  <c r="F46" i="1" s="1"/>
  <c r="H28" i="1"/>
  <c r="H27" i="1"/>
  <c r="I27" i="1" s="1"/>
  <c r="H26" i="1"/>
  <c r="I26" i="1" s="1"/>
  <c r="H32" i="1" l="1"/>
  <c r="H91" i="1"/>
  <c r="I91" i="1" s="1"/>
  <c r="H90" i="1"/>
  <c r="I90" i="1" s="1"/>
  <c r="H89" i="1"/>
  <c r="I89" i="1" s="1"/>
  <c r="H86" i="1"/>
  <c r="I86" i="1" s="1"/>
  <c r="H87" i="1"/>
  <c r="I87" i="1" s="1"/>
  <c r="H88" i="1"/>
  <c r="I88" i="1" s="1"/>
  <c r="H57" i="1"/>
  <c r="G61" i="1"/>
  <c r="H61" i="1" s="1"/>
  <c r="I61" i="1" s="1"/>
  <c r="D67" i="3"/>
  <c r="H60" i="1"/>
  <c r="I60" i="1" s="1"/>
  <c r="H59" i="1"/>
  <c r="I59" i="1" s="1"/>
  <c r="H58" i="1"/>
  <c r="I58" i="1" s="1"/>
  <c r="H47" i="1"/>
  <c r="I47" i="1" s="1"/>
  <c r="H84" i="1"/>
  <c r="H83" i="1"/>
  <c r="H82" i="1"/>
  <c r="H79" i="1"/>
  <c r="H78" i="1"/>
  <c r="H77" i="1"/>
  <c r="H76" i="1"/>
  <c r="H75" i="1"/>
  <c r="H73" i="1"/>
  <c r="H72" i="1"/>
  <c r="H71" i="1"/>
  <c r="H70" i="1"/>
  <c r="H69" i="1"/>
  <c r="H68" i="1"/>
  <c r="H67" i="1"/>
  <c r="H66" i="1"/>
  <c r="H65" i="1"/>
  <c r="H64" i="1"/>
  <c r="H63" i="1"/>
  <c r="H56" i="1"/>
  <c r="H55" i="1"/>
  <c r="H54" i="1"/>
  <c r="H53" i="1"/>
  <c r="H52" i="1"/>
  <c r="H51" i="1"/>
  <c r="H50" i="1"/>
  <c r="H49" i="1"/>
  <c r="H46" i="1"/>
  <c r="I46" i="1" s="1"/>
  <c r="H45" i="1"/>
  <c r="I45" i="1" s="1"/>
  <c r="H44" i="1"/>
  <c r="I44" i="1" s="1"/>
  <c r="H43" i="1"/>
  <c r="H42" i="1"/>
  <c r="H41" i="1"/>
  <c r="H40" i="1"/>
  <c r="H38" i="1"/>
  <c r="H37" i="1"/>
  <c r="H36" i="1"/>
  <c r="H35" i="1"/>
  <c r="H34" i="1"/>
  <c r="H31" i="1"/>
  <c r="H30" i="1"/>
  <c r="H25" i="1"/>
  <c r="H24" i="1"/>
  <c r="H23" i="1"/>
  <c r="H22" i="1"/>
  <c r="H21" i="1"/>
  <c r="H20" i="1"/>
  <c r="H19" i="1"/>
  <c r="H18" i="1"/>
  <c r="H17" i="1"/>
  <c r="H16" i="1"/>
  <c r="H15" i="1"/>
  <c r="D30" i="3"/>
  <c r="F42" i="1" s="1"/>
  <c r="I32" i="1" l="1"/>
  <c r="I85" i="1"/>
  <c r="C19" i="4" s="1"/>
  <c r="I56" i="1"/>
  <c r="I55" i="1"/>
  <c r="I73" i="1"/>
  <c r="I71" i="1"/>
  <c r="I70" i="1"/>
  <c r="I69" i="1"/>
  <c r="D19" i="4" l="1"/>
  <c r="F64" i="1"/>
  <c r="I64" i="1" s="1"/>
  <c r="D3" i="3"/>
  <c r="F25" i="1"/>
  <c r="I25" i="1" l="1"/>
  <c r="I38" i="1"/>
  <c r="F82" i="1"/>
  <c r="D72" i="3"/>
  <c r="F84" i="1" s="1"/>
  <c r="F83" i="1"/>
  <c r="F79" i="1"/>
  <c r="F78" i="1"/>
  <c r="F76" i="1"/>
  <c r="F75" i="1"/>
  <c r="F77" i="1"/>
  <c r="F24" i="1"/>
  <c r="D18" i="3"/>
  <c r="D22" i="3" s="1"/>
  <c r="F23" i="1"/>
  <c r="F22" i="1"/>
  <c r="D45" i="3"/>
  <c r="F57" i="1" s="1"/>
  <c r="I57" i="1" s="1"/>
  <c r="D42" i="3"/>
  <c r="F54" i="1" s="1"/>
  <c r="F37" i="1"/>
  <c r="F21" i="1"/>
  <c r="F17" i="1"/>
  <c r="F15" i="1"/>
  <c r="D4" i="3"/>
  <c r="F16" i="1" s="1"/>
  <c r="D8" i="3"/>
  <c r="F20" i="1" s="1"/>
  <c r="F19" i="1"/>
  <c r="F18" i="1" l="1"/>
  <c r="D16" i="3"/>
  <c r="F28" i="1" s="1"/>
  <c r="I28" i="1" s="1"/>
  <c r="D83" i="3"/>
  <c r="F95" i="1" s="1"/>
  <c r="I95" i="1" s="1"/>
  <c r="I92" i="1" s="1"/>
  <c r="C20" i="4" s="1"/>
  <c r="F34" i="1"/>
  <c r="I77" i="1"/>
  <c r="I78" i="1"/>
  <c r="I24" i="1"/>
  <c r="F31" i="1"/>
  <c r="I76" i="1"/>
  <c r="I22" i="1"/>
  <c r="I41" i="1"/>
  <c r="I23" i="1"/>
  <c r="I79" i="1"/>
  <c r="F30" i="1"/>
  <c r="I54" i="1"/>
  <c r="I21" i="1"/>
  <c r="I20" i="1"/>
  <c r="I19" i="1"/>
  <c r="E20" i="4" l="1"/>
  <c r="F20" i="4"/>
  <c r="F35" i="1"/>
  <c r="F36" i="1"/>
  <c r="I65" i="1"/>
  <c r="I63" i="1"/>
  <c r="I75" i="1"/>
  <c r="I74" i="1" s="1"/>
  <c r="C17" i="4" s="1"/>
  <c r="I66" i="1"/>
  <c r="I72" i="1"/>
  <c r="I68" i="1"/>
  <c r="I67" i="1"/>
  <c r="F17" i="4" l="1"/>
  <c r="E17" i="4"/>
  <c r="I62" i="1"/>
  <c r="C16" i="4" s="1"/>
  <c r="I82" i="1"/>
  <c r="I83" i="1"/>
  <c r="I84" i="1"/>
  <c r="I49" i="1"/>
  <c r="I50" i="1"/>
  <c r="I52" i="1"/>
  <c r="I53" i="1"/>
  <c r="I35" i="1"/>
  <c r="I51" i="1"/>
  <c r="I42" i="1"/>
  <c r="I37" i="1"/>
  <c r="I40" i="1"/>
  <c r="I43" i="1"/>
  <c r="I34" i="1"/>
  <c r="I30" i="1"/>
  <c r="I36" i="1"/>
  <c r="I31" i="1"/>
  <c r="F16" i="4" l="1"/>
  <c r="E16" i="4"/>
  <c r="I29" i="1"/>
  <c r="C12" i="4" s="1"/>
  <c r="D12" i="4" s="1"/>
  <c r="I39" i="1"/>
  <c r="C14" i="4" s="1"/>
  <c r="I81" i="1"/>
  <c r="C18" i="4" s="1"/>
  <c r="I33" i="1"/>
  <c r="C13" i="4" s="1"/>
  <c r="I48" i="1"/>
  <c r="C15" i="4" s="1"/>
  <c r="I16" i="1"/>
  <c r="I18" i="1"/>
  <c r="I17" i="1"/>
  <c r="E15" i="4" l="1"/>
  <c r="F15" i="4"/>
  <c r="E13" i="4"/>
  <c r="D13" i="4"/>
  <c r="F18" i="4"/>
  <c r="E14" i="4"/>
  <c r="F14" i="4"/>
  <c r="F22" i="4" s="1"/>
  <c r="E22" i="4"/>
  <c r="I15" i="1"/>
  <c r="I14" i="1" l="1"/>
  <c r="I102" i="1" l="1"/>
  <c r="C11" i="4"/>
  <c r="D11" i="4" l="1"/>
  <c r="D22" i="4" s="1"/>
  <c r="C22" i="4"/>
</calcChain>
</file>

<file path=xl/sharedStrings.xml><?xml version="1.0" encoding="utf-8"?>
<sst xmlns="http://schemas.openxmlformats.org/spreadsheetml/2006/main" count="781" uniqueCount="334">
  <si>
    <t>PLANILHA ORÇAMENTÁRIA SINTÉTICA</t>
  </si>
  <si>
    <t>DATA BASE:</t>
  </si>
  <si>
    <t>BDI 1:</t>
  </si>
  <si>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</si>
  <si>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</si>
  <si>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</si>
  <si>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</si>
  <si>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</si>
  <si>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</si>
  <si>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</si>
  <si>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</si>
  <si>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</si>
  <si>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</si>
  <si>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m²</t>
  </si>
  <si>
    <t>M</t>
  </si>
  <si>
    <t>DEMOLIÇÕES E RETIRADAS</t>
  </si>
  <si>
    <t xml:space="preserve"> 04.01.040 </t>
  </si>
  <si>
    <t>Retirada de divisória em placa de madeira ou fibrocimento com montantes metálicos</t>
  </si>
  <si>
    <t>Demolição manual de alvenaria de elevação ou elemento vazado, incluindo revestimento</t>
  </si>
  <si>
    <t>UNID.</t>
  </si>
  <si>
    <t>QUANT.</t>
  </si>
  <si>
    <t>Retirada de folha de esquadria em madeira</t>
  </si>
  <si>
    <t>04.08.020</t>
  </si>
  <si>
    <t>unid.</t>
  </si>
  <si>
    <t>2.1</t>
  </si>
  <si>
    <t>2.2</t>
  </si>
  <si>
    <t>Retirada de aparelho sanitário incluindo acessórios</t>
  </si>
  <si>
    <t>04.11.020</t>
  </si>
  <si>
    <t>Retirada de batente com guarnição e peças lineares em madeira, chumbados</t>
  </si>
  <si>
    <t>04.08.060</t>
  </si>
  <si>
    <t>M2</t>
  </si>
  <si>
    <t>03.02.040</t>
  </si>
  <si>
    <t>M3</t>
  </si>
  <si>
    <t>3.</t>
  </si>
  <si>
    <t>REVESTIMENTOS</t>
  </si>
  <si>
    <t>3.1</t>
  </si>
  <si>
    <t>3.2</t>
  </si>
  <si>
    <t>Emboço comum</t>
  </si>
  <si>
    <t>17.02.120</t>
  </si>
  <si>
    <t>Chapisco</t>
  </si>
  <si>
    <t>Reboco</t>
  </si>
  <si>
    <t>17.02.020</t>
  </si>
  <si>
    <t>17.02.220</t>
  </si>
  <si>
    <t>4.</t>
  </si>
  <si>
    <t>4.1</t>
  </si>
  <si>
    <t>4.2</t>
  </si>
  <si>
    <t>Alvenaria de bloco cerâmico de vedação, uso revestido, de 14 cm</t>
  </si>
  <si>
    <t>14.04.210</t>
  </si>
  <si>
    <t>Divisória em placas de gesso acartonado, resistência ao fogo 30 minutos, espessura 73/48mm ‐ 1ST / 1ST LM</t>
  </si>
  <si>
    <t>14.30.270</t>
  </si>
  <si>
    <t>17.04.040</t>
  </si>
  <si>
    <t>Revestimento em gesso liso desempenado</t>
  </si>
  <si>
    <t>5.</t>
  </si>
  <si>
    <t>5.1</t>
  </si>
  <si>
    <t>5.2</t>
  </si>
  <si>
    <t>5.3</t>
  </si>
  <si>
    <t>5.4</t>
  </si>
  <si>
    <t>5.5</t>
  </si>
  <si>
    <t>5.6</t>
  </si>
  <si>
    <t>Porta macho e fêmea com batente de madeira ‐ 90 x 210 cm</t>
  </si>
  <si>
    <t>23.02.050</t>
  </si>
  <si>
    <t>5.7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</si>
  <si>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</si>
  <si>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</si>
  <si>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</si>
  <si>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</si>
  <si>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</si>
  <si>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</si>
  <si>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</si>
  <si>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</si>
  <si>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</si>
  <si>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8.</t>
  </si>
  <si>
    <t>INSTALAÇÕES ELÉTRICAS</t>
  </si>
  <si>
    <t>LUMINÁRIA COMERCIAL DE SOBREPOR COM DIFUSOR TRANSPARENTE OU FOSCO PARA 2 LÂMPADAS TUBULARES DE LED 9/10W - COMPLETA</t>
  </si>
  <si>
    <t>Interruptor com 1 tecla simples e placa</t>
  </si>
  <si>
    <t xml:space="preserve"> 090950 </t>
  </si>
  <si>
    <t xml:space="preserve"> 40.05.020 </t>
  </si>
  <si>
    <t>SIURB</t>
  </si>
  <si>
    <t>8.1</t>
  </si>
  <si>
    <t>8.2</t>
  </si>
  <si>
    <t>8.3</t>
  </si>
  <si>
    <t>CJ</t>
  </si>
  <si>
    <t>REVISÃO GERAL DE TELHADOS DE BARRO, INCLUSIVE TOMADA DE GOTEIRA</t>
  </si>
  <si>
    <t>Telha de barro tipo romana</t>
  </si>
  <si>
    <t>Cumeeira de barro emboçado tipos: plan, romana, italiana, francesa e paulistinha</t>
  </si>
  <si>
    <t>COBERTURA</t>
  </si>
  <si>
    <t xml:space="preserve"> 16.02.230 </t>
  </si>
  <si>
    <t>REFERÊNCIA:</t>
  </si>
  <si>
    <t>16.33.022</t>
  </si>
  <si>
    <t>PINTURA</t>
  </si>
  <si>
    <t>Esmalte à base água em superfície metálica, inclusive preparo</t>
  </si>
  <si>
    <t>33.10.020</t>
  </si>
  <si>
    <t>33.11.050</t>
  </si>
  <si>
    <t>TOTAL GERAL COM BDI</t>
  </si>
  <si>
    <t>1.1</t>
  </si>
  <si>
    <t>1.</t>
  </si>
  <si>
    <t>SECRETÁRIO DE OBRAS E PLANEJAMENTO</t>
  </si>
  <si>
    <t>03.08.040</t>
  </si>
  <si>
    <t>Demolição manual de forro qualquer, inclusive sistema de fixação/tarugamento</t>
  </si>
  <si>
    <t>Lavatório de louça sem coluna para pessoas com mobilidade reduzida</t>
  </si>
  <si>
    <t>30.08.040</t>
  </si>
  <si>
    <t>Barra de apoio lateral para lavatório, para pessoas com mobilidade reduzida, em tubo de aço inoxidável de 1.1/4", comprimento 25 a 30 cm</t>
  </si>
  <si>
    <t>30.01.061</t>
  </si>
  <si>
    <t>Porta lisa de correr suspensa em madeira com batente</t>
  </si>
  <si>
    <t>23.08.242</t>
  </si>
  <si>
    <t>Vidro temperado incolor de 6 mm</t>
  </si>
  <si>
    <t>26.02.020</t>
  </si>
  <si>
    <t>1.2</t>
  </si>
  <si>
    <t>1.3</t>
  </si>
  <si>
    <t>1.4</t>
  </si>
  <si>
    <t>1.5</t>
  </si>
  <si>
    <t>retirada do forro existente, área levantada no CAD</t>
  </si>
  <si>
    <t>Retirada de bancada incluindo pertences</t>
  </si>
  <si>
    <t>04.11.030</t>
  </si>
  <si>
    <t>1.6</t>
  </si>
  <si>
    <t>retirada bancada copa</t>
  </si>
  <si>
    <t>retirada porta sanitário</t>
  </si>
  <si>
    <t>1.7</t>
  </si>
  <si>
    <t>retirada lavatório</t>
  </si>
  <si>
    <t>revestimento divisórias drywall</t>
  </si>
  <si>
    <t>Porta macho e fêmea com batente de madeira ‐ 70 x 210 cm</t>
  </si>
  <si>
    <t>23.02.030</t>
  </si>
  <si>
    <t>2.</t>
  </si>
  <si>
    <t>3.3</t>
  </si>
  <si>
    <t>3.4</t>
  </si>
  <si>
    <t>3.5</t>
  </si>
  <si>
    <t>4.3</t>
  </si>
  <si>
    <t>4.4</t>
  </si>
  <si>
    <t>lavatório para Meire</t>
  </si>
  <si>
    <t>Torneira volante tipo alavanca</t>
  </si>
  <si>
    <t>44.03.300</t>
  </si>
  <si>
    <t>Cuba em aço inoxidável simples de 400x340x140mm</t>
  </si>
  <si>
    <t>44.06.300</t>
  </si>
  <si>
    <t>Torneira de mesa para pia com bica móvel e arejador em latão fundido cromado</t>
  </si>
  <si>
    <t>44.03.590</t>
  </si>
  <si>
    <t>INSTALAÇÕES HIDRÁULICAS, LOUÇAS E METAIS</t>
  </si>
  <si>
    <t>Tampo/bancada em granito, com frontão, espessura de 2 cm, acabamento polido</t>
  </si>
  <si>
    <t>44.02.062</t>
  </si>
  <si>
    <t>Armário sob medida em compensado de madeira totalmente revestido em laminado melamínico texturizado, completo</t>
  </si>
  <si>
    <t>copa</t>
  </si>
  <si>
    <t>Retirada de estrutura em madeira pontaletada ‐ telhas de barro</t>
  </si>
  <si>
    <t>Retirada de telhamento em barro</t>
  </si>
  <si>
    <t>04.03.020</t>
  </si>
  <si>
    <t>04.02.090</t>
  </si>
  <si>
    <t>1.8</t>
  </si>
  <si>
    <t>1.9</t>
  </si>
  <si>
    <t>retirada cobertura copa/wc</t>
  </si>
  <si>
    <t>fechamento vão porta sanitário / aumento oitão copa/wc para cobertura</t>
  </si>
  <si>
    <t>Calha, rufo, afins em chapa galvanizada nº 24 ‐ corte 0,33 m</t>
  </si>
  <si>
    <t>Remoção de calha ou rufo</t>
  </si>
  <si>
    <t>04.30.020</t>
  </si>
  <si>
    <t>1.10</t>
  </si>
  <si>
    <t>Estrutura pontaletada para telhas de barro</t>
  </si>
  <si>
    <t>15.01.210</t>
  </si>
  <si>
    <t>16.02.030</t>
  </si>
  <si>
    <t>revisão telhado existente</t>
  </si>
  <si>
    <t>cobertura wc/copa</t>
  </si>
  <si>
    <t>7.2</t>
  </si>
  <si>
    <t>7.3</t>
  </si>
  <si>
    <t>7.4</t>
  </si>
  <si>
    <t>7.5</t>
  </si>
  <si>
    <t>Tinta látex em massa, inclusive preparo</t>
  </si>
  <si>
    <t>Verniz em superfície de madeira</t>
  </si>
  <si>
    <t>33.05.330</t>
  </si>
  <si>
    <t>esquadrias fachada 1,20 * 2,50 + 1,20 * 1,50 * 2</t>
  </si>
  <si>
    <t>Demolição manual de revestimento em massa de parede ou teto</t>
  </si>
  <si>
    <t>03.03.040</t>
  </si>
  <si>
    <t>1.11</t>
  </si>
  <si>
    <t xml:space="preserve">retirada de divisórias existentes </t>
  </si>
  <si>
    <t>Lâmpada LED tubular T8 com base G13, de 1850 até 2000 Im ‐ 18 a 20 W</t>
  </si>
  <si>
    <t>41.02.551</t>
  </si>
  <si>
    <t>6.7</t>
  </si>
  <si>
    <t>Tomada 2P+T de 10 A ‐ 250 V, completa</t>
  </si>
  <si>
    <t>40.04.450</t>
  </si>
  <si>
    <t>38.04.040</t>
  </si>
  <si>
    <t>Eletroduto galvanizado conforme NBR13057 ‐  3/4´ com acessórios (energia)</t>
  </si>
  <si>
    <t>Eletroduto galvanizado conforme NBR13057 ‐  3/4´ com acessórios (lógica)</t>
  </si>
  <si>
    <t>Cabo de cobre de 1,5 mm², isolamento 750 V ‐ isolação em PVC 70°C</t>
  </si>
  <si>
    <t>39.02.010</t>
  </si>
  <si>
    <t>Cabo de cobre de 2,5 mm², isolamento 750 V ‐ isolação em PVC 70°C</t>
  </si>
  <si>
    <t>39.02.016</t>
  </si>
  <si>
    <t>Cabo de cobre de 10 mm², isolamento 750 V ‐ isolação em PVC 70°C</t>
  </si>
  <si>
    <t>39.02.040</t>
  </si>
  <si>
    <t>Cabo para rede 24 AWG com 4 pares, categoria 6</t>
  </si>
  <si>
    <t>39.18.126</t>
  </si>
  <si>
    <t>Tomada RJ 45 para rede de dados, com placa</t>
  </si>
  <si>
    <t>40.04.096</t>
  </si>
  <si>
    <t>6.8</t>
  </si>
  <si>
    <t>6.9</t>
  </si>
  <si>
    <t>6.10</t>
  </si>
  <si>
    <t>6.11</t>
  </si>
  <si>
    <t>Tubo de PVC rígido soldável marrom, DN= 25 mm, (3/4´), inclusive conexões</t>
  </si>
  <si>
    <t>46.01.020</t>
  </si>
  <si>
    <t>Tubo de PVC rígido branco PxB com virola e anel de borracha, linha esgoto série normal, DN= 50 mm, inclusive conexões</t>
  </si>
  <si>
    <t>46.02.050</t>
  </si>
  <si>
    <t>5.8</t>
  </si>
  <si>
    <t>REFORMA DA ADMINISTRAÇÃO DO CEMITÉRIO MUNICIPAL</t>
  </si>
  <si>
    <t>remoção de calhas e cumeeira cerâmica fachada fundo</t>
  </si>
  <si>
    <t>Forro modular removível em PVC de 618mm x 1243mm</t>
  </si>
  <si>
    <t>22.03.040</t>
  </si>
  <si>
    <t>0,90 * 2,10 porta acesso ao velório</t>
  </si>
  <si>
    <t>4.5</t>
  </si>
  <si>
    <t>4.6</t>
  </si>
  <si>
    <t>Vidro liso transparente de 4 mm</t>
  </si>
  <si>
    <t>26.01.040</t>
  </si>
  <si>
    <t>4.7</t>
  </si>
  <si>
    <t>Tela de proteção tipo mosquiteira removível, em fibra de vidro com revestimento em PVC e requadro em alumínio</t>
  </si>
  <si>
    <t>25.20.020</t>
  </si>
  <si>
    <t>4.8</t>
  </si>
  <si>
    <t>Lavatório de louça com coluna</t>
  </si>
  <si>
    <t>44.01.110</t>
  </si>
  <si>
    <t>Bacia sifonada com caixa de descarga acoplada sem tampa - 6 litros</t>
  </si>
  <si>
    <t>44.01.800</t>
  </si>
  <si>
    <t>5.9</t>
  </si>
  <si>
    <t>5.10</t>
  </si>
  <si>
    <t>Torneira de mesa automática, acionamento hidromecânico, em latão cromado, DN= 1/2´ou 3/4´</t>
  </si>
  <si>
    <t>44.03.645</t>
  </si>
  <si>
    <t>CAIXA DE PASSAGEM EM ALVENARIA DE 1,00X1,00X1,00 M</t>
  </si>
  <si>
    <t>09.06.028</t>
  </si>
  <si>
    <t>FDE</t>
  </si>
  <si>
    <t>revisão caixas externas existentes</t>
  </si>
  <si>
    <t>cobertura wc/copa + 5 m² para revisão telhado existente</t>
  </si>
  <si>
    <t>06-080-001</t>
  </si>
  <si>
    <t>5.11</t>
  </si>
  <si>
    <t>23.08.040</t>
  </si>
  <si>
    <t>5.12</t>
  </si>
  <si>
    <t>5.13</t>
  </si>
  <si>
    <t>CDHU VERSÃO 195 NÃO DESONERADO</t>
  </si>
  <si>
    <t>FDE JULHO 2024</t>
  </si>
  <si>
    <t xml:space="preserve">SIURB JANEIRO/2024 </t>
  </si>
  <si>
    <t>9.</t>
  </si>
  <si>
    <t>ESTRUTURA CAIXA D'ÁGUA</t>
  </si>
  <si>
    <t>9.1</t>
  </si>
  <si>
    <t>9.2</t>
  </si>
  <si>
    <t>9.3</t>
  </si>
  <si>
    <t>9.4</t>
  </si>
  <si>
    <t>9.5</t>
  </si>
  <si>
    <t>Alvenaria de bloco cerâmico de vedação de 19 cm</t>
  </si>
  <si>
    <t>14.04.220</t>
  </si>
  <si>
    <t>Vergas, contravergas e pilaretes de concreto armado</t>
  </si>
  <si>
    <t>14.20.010</t>
  </si>
  <si>
    <t>Pré-laje em painel pré-fabricado treliçado, H= 12 cm</t>
  </si>
  <si>
    <t>13.05.110</t>
  </si>
  <si>
    <t>9.6</t>
  </si>
  <si>
    <t>ALVENARIA, BANCADAS E DIVISÓRIAS</t>
  </si>
  <si>
    <t>Prateleira em granito com espessura de 2 cm</t>
  </si>
  <si>
    <t>44.04.030</t>
  </si>
  <si>
    <t>2.3</t>
  </si>
  <si>
    <t>ESQUADRIAS E VIDROS</t>
  </si>
  <si>
    <t>Remoção de aparelho de iluminação ou projetor fixo em teto, piso ou parede</t>
  </si>
  <si>
    <t>04.17.020</t>
  </si>
  <si>
    <t>Demolição manual de concreto simples</t>
  </si>
  <si>
    <t>03.01.020</t>
  </si>
  <si>
    <t>1.12</t>
  </si>
  <si>
    <t>1.13</t>
  </si>
  <si>
    <t>1.14</t>
  </si>
  <si>
    <t>05.07.050</t>
  </si>
  <si>
    <t>10.</t>
  </si>
  <si>
    <t>PISO</t>
  </si>
  <si>
    <t>Piso em granilite moldado no local</t>
  </si>
  <si>
    <t>17.10.020</t>
  </si>
  <si>
    <t>Reparos em piso de granilite - estucamento e polimento</t>
  </si>
  <si>
    <t>17.40.010</t>
  </si>
  <si>
    <t>Resina epóxi para piso de granilite</t>
  </si>
  <si>
    <t>17.40.160</t>
  </si>
  <si>
    <t>10.1</t>
  </si>
  <si>
    <t>10.2</t>
  </si>
  <si>
    <t>10.3</t>
  </si>
  <si>
    <t>aumento da estrutura da caixa d'água 3,35 + 2,50 + 2,40 * 1,20 m</t>
  </si>
  <si>
    <t>viga respaldo alvenaria 0,20 * 0,30 * (3,35 + 2,50 + 2,40) m</t>
  </si>
  <si>
    <t>recuperação de piso onde foi demolido 1,50 * 1,50</t>
  </si>
  <si>
    <t>recuperação de todo o piso granilite existente</t>
  </si>
  <si>
    <t>7,83 m * 2,20 m (h) + 7,83 * 3,25 m (h)</t>
  </si>
  <si>
    <t>1,50 * 0,30 * 2 - bancadas na área de atendimento</t>
  </si>
  <si>
    <t>demolição piso para reparo de infiltração 1,50 m * 1,50 m</t>
  </si>
  <si>
    <t>copa, atendimento e aréa interna</t>
  </si>
  <si>
    <t>santário</t>
  </si>
  <si>
    <t>atendimentos vidros fixos 1,40 * 0,80 * 2</t>
  </si>
  <si>
    <t>vidro dos vitrôs</t>
  </si>
  <si>
    <t>Caixilho em alumínio basculante, sob medida</t>
  </si>
  <si>
    <t>25.01.040</t>
  </si>
  <si>
    <t>Caixilho em alumínio de correr, sob medida</t>
  </si>
  <si>
    <t>25.01.080</t>
  </si>
  <si>
    <t xml:space="preserve">cozinha 1,20 * 1,00 </t>
  </si>
  <si>
    <t>banheiro 1,00 * 0,50 + sala fundo para cemitério 2,00 * 0,50 * 2</t>
  </si>
  <si>
    <t>instalação de tela em todas as janelas</t>
  </si>
  <si>
    <t>remoção de reboco com umidade 14,00 m * 3,25 (h) + fachada frente 8,37 * 4,10 + fachada lateral 12,12 * 4,10 + fachada fundo 46,00 m²</t>
  </si>
  <si>
    <t>remoção luminárias para retirada de forro</t>
  </si>
  <si>
    <t>Remoção de entulho de obra com caçamba metálica - material
volumoso e misturado por alvenaria, terra, madeira, papel, plástico e metal</t>
  </si>
  <si>
    <t>Impermeabilização em argamassa polimérica para umidade e água de percolação</t>
  </si>
  <si>
    <t>32.17.030</t>
  </si>
  <si>
    <r>
      <t xml:space="preserve">alvenaria * 2 lados + reboco umidade </t>
    </r>
    <r>
      <rPr>
        <sz val="11"/>
        <rFont val="Calibri"/>
        <family val="2"/>
        <scheme val="minor"/>
      </rPr>
      <t>+ reboco externo</t>
    </r>
  </si>
  <si>
    <t>impermeabilização das paredes descascadas internas e externas</t>
  </si>
  <si>
    <t>7.6</t>
  </si>
  <si>
    <t>sanitário</t>
  </si>
  <si>
    <t>ligação lavatório Meire</t>
  </si>
  <si>
    <t>substituição de cumeeiras existentes</t>
  </si>
  <si>
    <t>substituição de calhas existentes e execução de rufo lateral fachada fundo</t>
  </si>
  <si>
    <t>portas internas: 0,90*2,10*2*4 + 0,70 * 2,10 * 2 * 1</t>
  </si>
  <si>
    <t>AV. DR. ALBERTO DE SAN JUAN, 60</t>
  </si>
  <si>
    <t>externa 132,00 m² / interna alvenaria 36,58 * 3,25 m / divisórias 42,67 * 2 (lados) / estrutura caixa d'água 15,00 m²</t>
  </si>
  <si>
    <t>11.</t>
  </si>
  <si>
    <t>11.1</t>
  </si>
  <si>
    <t>11.2</t>
  </si>
  <si>
    <t>11.3</t>
  </si>
  <si>
    <t>12.80.030</t>
  </si>
  <si>
    <t>Reparo em trincas e rachaduras</t>
  </si>
  <si>
    <t>11.4</t>
  </si>
  <si>
    <t>11.5</t>
  </si>
  <si>
    <t>fechamento trincas amarração ferro</t>
  </si>
  <si>
    <t>Armadura em barra de aço CA-50 (A ou B) fyk = 500 MPa</t>
  </si>
  <si>
    <t>10.01.040</t>
  </si>
  <si>
    <t>Concreto usinado, fck = 30 MPa</t>
  </si>
  <si>
    <t>11.01.160</t>
  </si>
  <si>
    <t>KG</t>
  </si>
  <si>
    <t>Forma em madeira comum para estrutura</t>
  </si>
  <si>
    <t>09.01.030</t>
  </si>
  <si>
    <t>REFORÇO ESTRUTURAL</t>
  </si>
  <si>
    <t>execução de 2 pilares 0,20*0,30*4,00 + execução de bloco de reforço de fundação - concreto * 100</t>
  </si>
  <si>
    <t>execução de 2 pilares 0,20*0,30*4,00 + execução de bloco de reforço de fundação 1,00 * 1,00 * 1,00</t>
  </si>
  <si>
    <t>0,30 * 4 m (h) * * 2 lados * 2 pilares + 1,00 * 1,00 * 4 lados</t>
  </si>
  <si>
    <t>abertura vãos de portas + aertura de vãos para execução de pilares</t>
  </si>
  <si>
    <t>Escavação manual em solo de 1ª e 2ª categoria em vala ou cava até 1,5 m</t>
  </si>
  <si>
    <t>06.02.020</t>
  </si>
  <si>
    <t>escavação para execução de bloco de fundação</t>
  </si>
  <si>
    <t>CRONOGRAMA FÍSICO-FINANCEIRO</t>
  </si>
  <si>
    <t>1º MÊS</t>
  </si>
  <si>
    <t>2º MÊS</t>
  </si>
  <si>
    <t>3º MÊS</t>
  </si>
  <si>
    <t>TOTAL GERAL</t>
  </si>
  <si>
    <t>Tietê, 14 de janeiro de 2025.</t>
  </si>
  <si>
    <t>ÁLVARO FLORIAM GEBRAIEL BELLAZ</t>
  </si>
  <si>
    <t>CREA 507.011.280-5</t>
  </si>
  <si>
    <t>ENGENHEIRO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</si>
</sst>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3" fillId="2" borderId="0" xfId="0" applyFont="1" applyFill="1" applyAlignment="1">
      <alignment vertical="top"/>
    </xf>
    <xf numFmtId="49" fontId="3" fillId="2" borderId="0" xfId="0" applyNumberFormat="1" applyFont="1" applyFill="1" applyAlignment="1">
      <alignment horizontal="right"/>
    </xf>
    <xf numFmtId="4" fontId="2" fillId="2" borderId="0" xfId="0" applyNumberFormat="1" applyFont="1" applyFill="1" applyAlignment="1">
      <alignment vertical="top"/>
    </xf>
    <xf numFmtId="4" fontId="3" fillId="2" borderId="0" xfId="0" applyNumberFormat="1" applyFont="1" applyFill="1" applyAlignment="1">
      <alignment vertical="top"/>
    </xf>
    <xf numFmtId="0" fontId="3" fillId="0" borderId="0" xfId="0" applyFont="1" applyAlignment="1">
      <alignment vertical="top"/>
    </xf>
    <xf numFmtId="49" fontId="6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vertical="top"/>
    </xf>
    <xf numFmtId="49" fontId="7" fillId="2" borderId="0" xfId="0" applyNumberFormat="1" applyFont="1" applyFill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9" fillId="3" borderId="1" xfId="0" applyFont="1" applyFill="1" applyBorder="1" applyAlignment="1">
      <alignment vertical="top" wrapText="1"/>
    </xf>
    <xf numFmtId="0" fontId="11" fillId="3" borderId="4" xfId="0" applyFont="1" applyFill="1" applyBorder="1" applyAlignment="1" applyProtection="1">
      <alignment horizontal="left" vertical="top" wrapText="1"/>
      <protection locked="0"/>
    </xf>
    <xf numFmtId="44" fontId="11" fillId="3" borderId="4" xfId="1" applyFont="1" applyFill="1" applyBorder="1" applyAlignment="1" applyProtection="1">
      <alignment horizontal="left" vertical="top" wrapText="1"/>
      <protection locked="0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2" fontId="11" fillId="3" borderId="4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2" fillId="3" borderId="9" xfId="0" applyFont="1" applyFill="1" applyBorder="1"/>
    <xf numFmtId="0" fontId="11" fillId="3" borderId="9" xfId="0" applyFont="1" applyFill="1" applyBorder="1" applyAlignment="1" applyProtection="1">
      <alignment horizontal="center" vertical="top" wrapText="1"/>
      <protection locked="0"/>
    </xf>
    <xf numFmtId="2" fontId="11" fillId="3" borderId="9" xfId="0" applyNumberFormat="1" applyFont="1" applyFill="1" applyBorder="1" applyAlignment="1" applyProtection="1">
      <alignment horizontal="center" vertical="top" wrapText="1"/>
      <protection locked="0"/>
    </xf>
    <xf numFmtId="44" fontId="11" fillId="3" borderId="9" xfId="1" applyFont="1" applyFill="1" applyBorder="1" applyAlignment="1" applyProtection="1">
      <alignment horizontal="left" vertical="top" wrapText="1"/>
      <protection locked="0"/>
    </xf>
    <xf numFmtId="44" fontId="12" fillId="3" borderId="9" xfId="0" applyNumberFormat="1" applyFont="1" applyFill="1" applyBorder="1"/>
    <xf numFmtId="0" fontId="12" fillId="3" borderId="12" xfId="0" applyFont="1" applyFill="1" applyBorder="1"/>
    <xf numFmtId="0" fontId="11" fillId="3" borderId="12" xfId="0" applyFont="1" applyFill="1" applyBorder="1" applyAlignment="1" applyProtection="1">
      <alignment horizontal="center" vertical="top" wrapText="1"/>
      <protection locked="0"/>
    </xf>
    <xf numFmtId="2" fontId="11" fillId="3" borderId="12" xfId="0" applyNumberFormat="1" applyFont="1" applyFill="1" applyBorder="1" applyAlignment="1" applyProtection="1">
      <alignment horizontal="center" vertical="top" wrapText="1"/>
      <protection locked="0"/>
    </xf>
    <xf numFmtId="44" fontId="11" fillId="3" borderId="12" xfId="1" applyFont="1" applyFill="1" applyBorder="1" applyAlignment="1" applyProtection="1">
      <alignment horizontal="left" vertical="top" wrapText="1"/>
      <protection locked="0"/>
    </xf>
    <xf numFmtId="44" fontId="12" fillId="3" borderId="12" xfId="0" applyNumberFormat="1" applyFont="1" applyFill="1" applyBorder="1"/>
    <xf numFmtId="0" fontId="10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10" fontId="7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2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6" xfId="1" applyFont="1" applyFill="1" applyBorder="1" applyAlignment="1" applyProtection="1">
      <alignment horizontal="left" vertical="center" wrapText="1"/>
      <protection locked="0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10" fontId="3" fillId="2" borderId="7" xfId="0" applyNumberFormat="1" applyFont="1" applyFill="1" applyBorder="1" applyAlignment="1">
      <alignment horizontal="center" vertical="top"/>
    </xf>
    <xf numFmtId="17" fontId="3" fillId="2" borderId="1" xfId="0" applyNumberFormat="1" applyFont="1" applyFill="1" applyBorder="1" applyAlignment="1">
      <alignment horizontal="center" vertical="top"/>
    </xf>
    <xf numFmtId="2" fontId="0" fillId="0" borderId="1" xfId="0" applyNumberForma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vertical="center" wrapText="1"/>
    </xf>
    <xf numFmtId="0" fontId="11" fillId="3" borderId="4" xfId="0" applyFont="1" applyFill="1" applyBorder="1" applyAlignment="1" applyProtection="1">
      <alignment horizontal="center" wrapText="1"/>
      <protection locked="0"/>
    </xf>
    <xf numFmtId="49" fontId="6" fillId="2" borderId="0" xfId="0" applyNumberFormat="1" applyFont="1" applyFill="1" applyAlignment="1">
      <alignment horizontal="center" vertical="top"/>
    </xf>
    <xf numFmtId="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2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vertical="center" wrapText="1"/>
      <protection locked="0"/>
    </xf>
    <xf numFmtId="44" fontId="14" fillId="2" borderId="1" xfId="1" applyFont="1" applyFill="1" applyBorder="1" applyAlignment="1" applyProtection="1">
      <alignment vertical="center" wrapText="1"/>
      <protection locked="0"/>
    </xf>
    <xf numFmtId="49" fontId="7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4" borderId="12" xfId="0" applyFont="1" applyFill="1" applyBorder="1"/>
    <xf numFmtId="0" fontId="11" fillId="4" borderId="12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11" fillId="4" borderId="4" xfId="0" applyFont="1" applyFill="1" applyBorder="1" applyAlignment="1" applyProtection="1">
      <alignment horizontal="left"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9" xfId="0" applyFont="1" applyFill="1" applyBorder="1"/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" fillId="3" borderId="3" xfId="0" applyFont="1" applyFill="1" applyBorder="1" applyAlignment="1" applyProtection="1">
      <alignment horizontal="center" vertical="top" wrapText="1"/>
      <protection locked="0"/>
    </xf>
    <xf numFmtId="0" fontId="11" fillId="3" borderId="11" xfId="0" applyFont="1" applyFill="1" applyBorder="1" applyAlignment="1" applyProtection="1">
      <alignment horizontal="center" vertical="top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44" fontId="10" fillId="2" borderId="6" xfId="1" applyFont="1" applyFill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2" fontId="16" fillId="0" borderId="1" xfId="0" applyNumberFormat="1" applyFont="1" applyBorder="1" applyAlignment="1" applyProtection="1">
      <alignment horizontal="center" vertical="center" wrapText="1"/>
      <protection locked="0"/>
    </xf>
    <xf numFmtId="44" fontId="16" fillId="0" borderId="1" xfId="1" applyFont="1" applyFill="1" applyBorder="1" applyAlignment="1" applyProtection="1">
      <alignment vertical="center" wrapText="1"/>
      <protection locked="0"/>
    </xf>
    <xf numFmtId="44" fontId="15" fillId="0" borderId="1" xfId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2" fillId="4" borderId="0" xfId="0" applyFont="1" applyFill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2" fontId="14" fillId="0" borderId="1" xfId="0" applyNumberFormat="1" applyFont="1" applyBorder="1" applyAlignment="1" applyProtection="1">
      <alignment horizontal="center" vertical="center" wrapText="1"/>
      <protection locked="0"/>
    </xf>
    <xf numFmtId="44" fontId="14" fillId="0" borderId="1" xfId="1" applyFont="1" applyFill="1" applyBorder="1" applyAlignment="1" applyProtection="1">
      <alignment vertical="center" wrapText="1"/>
      <protection locked="0"/>
    </xf>
    <xf numFmtId="44" fontId="10" fillId="0" borderId="1" xfId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center" wrapText="1"/>
      <protection locked="0"/>
    </xf>
    <xf numFmtId="0" fontId="0" fillId="0" borderId="0" xfId="0" applyAlignment="1">
      <alignment vertical="center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13" fillId="0" borderId="0" xfId="0" applyFont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/>
    <xf numFmtId="2" fontId="0" fillId="0" borderId="0" xfId="0" applyNumberFormat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44" fontId="2" fillId="0" borderId="0" xfId="0" applyNumberFormat="1" applyFont="1" applyAlignment="1">
      <alignment vertical="top"/>
    </xf>
    <xf numFmtId="44" fontId="3" fillId="2" borderId="0" xfId="0" applyNumberFormat="1" applyFont="1" applyFill="1" applyAlignment="1">
      <alignment vertical="top"/>
    </xf>
    <xf numFmtId="44" fontId="9" fillId="3" borderId="1" xfId="0" applyNumberFormat="1" applyFont="1" applyFill="1" applyBorder="1" applyAlignment="1">
      <alignment vertical="top" wrapText="1"/>
    </xf>
    <xf numFmtId="44" fontId="11" fillId="3" borderId="5" xfId="1" applyFont="1" applyFill="1" applyBorder="1" applyAlignment="1" applyProtection="1">
      <alignment horizontal="right" vertical="top" wrapText="1"/>
      <protection locked="0"/>
    </xf>
    <xf numFmtId="44" fontId="11" fillId="3" borderId="13" xfId="1" applyFont="1" applyFill="1" applyBorder="1" applyAlignment="1" applyProtection="1">
      <alignment horizontal="right" vertical="top" wrapText="1"/>
      <protection locked="0"/>
    </xf>
    <xf numFmtId="44" fontId="10" fillId="2" borderId="6" xfId="1" applyFont="1" applyFill="1" applyBorder="1" applyAlignment="1" applyProtection="1">
      <alignment horizontal="right" vertical="center" wrapText="1"/>
      <protection locked="0"/>
    </xf>
    <xf numFmtId="44" fontId="11" fillId="3" borderId="10" xfId="1" applyFont="1" applyFill="1" applyBorder="1" applyAlignment="1" applyProtection="1">
      <alignment horizontal="right" vertical="top" wrapText="1"/>
      <protection locked="0"/>
    </xf>
    <xf numFmtId="44" fontId="13" fillId="3" borderId="10" xfId="0" applyNumberFormat="1" applyFont="1" applyFill="1" applyBorder="1" applyAlignment="1">
      <alignment vertical="center"/>
    </xf>
    <xf numFmtId="44" fontId="13" fillId="0" borderId="0" xfId="0" applyNumberFormat="1" applyFont="1" applyAlignment="1">
      <alignment vertical="center"/>
    </xf>
    <xf numFmtId="44" fontId="0" fillId="0" borderId="0" xfId="0" applyNumberFormat="1" applyAlignment="1">
      <alignment horizontal="center"/>
    </xf>
    <xf numFmtId="44" fontId="3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4" fontId="9" fillId="3" borderId="1" xfId="0" applyNumberFormat="1" applyFont="1" applyFill="1" applyBorder="1" applyAlignment="1">
      <alignment vertical="center" wrapText="1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12" fillId="3" borderId="9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12" fillId="3" borderId="1" xfId="0" applyNumberFormat="1" applyFont="1" applyFill="1" applyBorder="1" applyAlignment="1">
      <alignment vertical="center"/>
    </xf>
    <xf numFmtId="4" fontId="4" fillId="3" borderId="6" xfId="0" applyNumberFormat="1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17" fontId="3" fillId="3" borderId="11" xfId="0" applyNumberFormat="1" applyFont="1" applyFill="1" applyBorder="1" applyAlignment="1">
      <alignment horizontal="center" vertical="center"/>
    </xf>
    <xf numFmtId="17" fontId="3" fillId="3" borderId="13" xfId="0" applyNumberFormat="1" applyFont="1" applyFill="1" applyBorder="1" applyAlignment="1">
      <alignment horizontal="center" vertical="center"/>
    </xf>
    <xf numFmtId="17" fontId="3" fillId="3" borderId="14" xfId="0" applyNumberFormat="1" applyFont="1" applyFill="1" applyBorder="1" applyAlignment="1">
      <alignment horizontal="center" vertical="center"/>
    </xf>
    <xf numFmtId="17" fontId="3" fillId="3" borderId="15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Moeda" xfId="1" builtinId="4"/>
    <cellStyle name="Normal" xfId="0" builtinId="0"/>
  </cellStyles>
  <dxfs count="89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216478</xdr:colOff>
          <xdr:row>0</xdr:row>
          <xdr:rowOff>164285</xdr:rowOff>
        </xdr:from>
        <xdr:to>
          <xdr:col>1</xdr:col>
          <xdr:colOff>1076778</xdr:colOff>
          <xdr:row>6</xdr:row>
          <xdr:rowOff>155863</xdr:rowOff>
        </xdr:to>
        <xdr:pic>
          <xdr:nvPicPr>
            <xdr:cNvPr id="2" name="Imagem 1">
              <a:extLst>
                <a:ext uri="{FF2B5EF4-FFF2-40B4-BE49-F238E27FC236}">
                  <a16:creationId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206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16478" y="164285"/>
              <a:ext cx="1466436" cy="122116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199159</xdr:colOff>
      <xdr:row>10</xdr:row>
      <xdr:rowOff>103909</xdr:rowOff>
    </xdr:from>
    <xdr:to>
      <xdr:col>3</xdr:col>
      <xdr:colOff>1021772</xdr:colOff>
      <xdr:row>10</xdr:row>
      <xdr:rowOff>103909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117523" y="2753591"/>
          <a:ext cx="822613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213013</xdr:colOff>
      <xdr:row>11</xdr:row>
      <xdr:rowOff>126423</xdr:rowOff>
    </xdr:from>
    <xdr:to>
      <xdr:col>3</xdr:col>
      <xdr:colOff>1035626</xdr:colOff>
      <xdr:row>11</xdr:row>
      <xdr:rowOff>126423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131377" y="3174423"/>
          <a:ext cx="822613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12</xdr:row>
      <xdr:rowOff>114300</xdr:rowOff>
    </xdr:from>
    <xdr:to>
      <xdr:col>4</xdr:col>
      <xdr:colOff>997527</xdr:colOff>
      <xdr:row>12</xdr:row>
      <xdr:rowOff>121227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5108864" y="3560618"/>
          <a:ext cx="2019299" cy="6927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171451</xdr:colOff>
      <xdr:row>13</xdr:row>
      <xdr:rowOff>121228</xdr:rowOff>
    </xdr:from>
    <xdr:to>
      <xdr:col>5</xdr:col>
      <xdr:colOff>1013113</xdr:colOff>
      <xdr:row>13</xdr:row>
      <xdr:rowOff>128155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6302087" y="3965864"/>
          <a:ext cx="2010640" cy="6927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197428</xdr:colOff>
      <xdr:row>14</xdr:row>
      <xdr:rowOff>128154</xdr:rowOff>
    </xdr:from>
    <xdr:to>
      <xdr:col>5</xdr:col>
      <xdr:colOff>1013113</xdr:colOff>
      <xdr:row>14</xdr:row>
      <xdr:rowOff>129886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28064" y="4371109"/>
          <a:ext cx="1984663" cy="1732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173182</xdr:colOff>
      <xdr:row>15</xdr:row>
      <xdr:rowOff>129886</xdr:rowOff>
    </xdr:from>
    <xdr:to>
      <xdr:col>5</xdr:col>
      <xdr:colOff>999258</xdr:colOff>
      <xdr:row>15</xdr:row>
      <xdr:rowOff>133350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303818" y="4771159"/>
          <a:ext cx="1995054" cy="3464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164523</xdr:colOff>
      <xdr:row>16</xdr:row>
      <xdr:rowOff>121227</xdr:rowOff>
    </xdr:from>
    <xdr:to>
      <xdr:col>5</xdr:col>
      <xdr:colOff>1030431</xdr:colOff>
      <xdr:row>16</xdr:row>
      <xdr:rowOff>121227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295159" y="5160818"/>
          <a:ext cx="2034886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164523</xdr:colOff>
      <xdr:row>17</xdr:row>
      <xdr:rowOff>121227</xdr:rowOff>
    </xdr:from>
    <xdr:to>
      <xdr:col>5</xdr:col>
      <xdr:colOff>987136</xdr:colOff>
      <xdr:row>17</xdr:row>
      <xdr:rowOff>121227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7464137" y="5559136"/>
          <a:ext cx="822613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204355</xdr:colOff>
      <xdr:row>18</xdr:row>
      <xdr:rowOff>117763</xdr:rowOff>
    </xdr:from>
    <xdr:to>
      <xdr:col>3</xdr:col>
      <xdr:colOff>1026968</xdr:colOff>
      <xdr:row>18</xdr:row>
      <xdr:rowOff>117763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5122719" y="5953990"/>
          <a:ext cx="822613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199159</xdr:colOff>
      <xdr:row>19</xdr:row>
      <xdr:rowOff>138546</xdr:rowOff>
    </xdr:from>
    <xdr:to>
      <xdr:col>5</xdr:col>
      <xdr:colOff>980209</xdr:colOff>
      <xdr:row>19</xdr:row>
      <xdr:rowOff>140277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6329795" y="6373091"/>
          <a:ext cx="1950028" cy="1731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197428</xdr:colOff>
      <xdr:row>20</xdr:row>
      <xdr:rowOff>110836</xdr:rowOff>
    </xdr:from>
    <xdr:to>
      <xdr:col>3</xdr:col>
      <xdr:colOff>1020041</xdr:colOff>
      <xdr:row>20</xdr:row>
      <xdr:rowOff>110836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115792" y="6743700"/>
          <a:ext cx="822613" cy="0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112568</xdr:colOff>
          <xdr:row>3</xdr:row>
          <xdr:rowOff>164286</xdr:rowOff>
        </xdr:from>
        <xdr:to>
          <xdr:col>2</xdr:col>
          <xdr:colOff>69273</xdr:colOff>
          <xdr:row>9</xdr:row>
          <xdr:rowOff>94251</xdr:rowOff>
        </xdr:to>
        <xdr:pic>
          <xdr:nvPicPr>
            <xdr:cNvPr id="11" name="Imagem 10">
              <a:extLst>
                <a:ext uri="{FF2B5EF4-FFF2-40B4-BE49-F238E27FC236}">
                  <a16:creationId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168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568" y="735786"/>
              <a:ext cx="1298864" cy="108162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zoomScale="110" zoomScaleNormal="110" workbookViewId="0">
      <selection activeCell="E9" sqref="E9"/>
    </sheetView>
  </sheetViews>
  <sheetFormatPr defaultRowHeight="15" x14ac:dyDescent="0.25"/>
  <cols>
    <col min="1" max="1" width="9.140625" style="47"/>
    <col min="2" max="2" width="46.140625" customWidth="1"/>
    <col min="3" max="3" width="18.5703125" style="130" customWidth="1"/>
    <col min="4" max="4" width="18.140625" customWidth="1"/>
    <col min="5" max="5" width="17.5703125" customWidth="1"/>
    <col min="6" max="6" width="17.7109375" customWidth="1"/>
    <col min="7" max="7" width="18.140625" customWidth="1"/>
  </cols>
  <sheetData>
    <row r="1" spans="1:6" x14ac:dyDescent="0.25">
      <c r="A1" s="41"/>
      <c r="B1" s="7"/>
      <c r="C1" s="149"/>
      <c r="D1" s="58"/>
    </row>
    <row r="2" spans="1:6" ht="21.75" customHeight="1" x14ac:dyDescent="0.25">
      <c r="A2" s="41"/>
      <c r="B2" s="170" t="s">
        <v>325</v>
      </c>
      <c r="C2" s="171"/>
      <c r="D2" s="158" t="s">
        <v>87</v>
      </c>
      <c r="E2" s="161" t="s">
        <v>227</v>
      </c>
      <c r="F2" s="162"/>
    </row>
    <row r="3" spans="1:6" x14ac:dyDescent="0.25">
      <c r="A3" s="41"/>
      <c r="B3" s="172" t="s">
        <v>196</v>
      </c>
      <c r="C3" s="173"/>
      <c r="D3" s="159"/>
      <c r="E3" s="163"/>
      <c r="F3" s="164"/>
    </row>
    <row r="4" spans="1:6" x14ac:dyDescent="0.25">
      <c r="A4" s="41"/>
      <c r="B4" s="172" t="s">
        <v>299</v>
      </c>
      <c r="C4" s="173"/>
      <c r="D4" s="159"/>
      <c r="E4" s="165" t="s">
        <v>229</v>
      </c>
      <c r="F4" s="166"/>
    </row>
    <row r="5" spans="1:6" x14ac:dyDescent="0.25">
      <c r="A5" s="41"/>
      <c r="B5" s="174"/>
      <c r="C5" s="175"/>
      <c r="D5" s="159"/>
      <c r="E5" s="167"/>
      <c r="F5" s="168"/>
    </row>
    <row r="6" spans="1:6" x14ac:dyDescent="0.25">
      <c r="A6" s="41"/>
      <c r="B6" s="174"/>
      <c r="C6" s="175"/>
      <c r="D6" s="160"/>
      <c r="E6" s="169" t="s">
        <v>228</v>
      </c>
      <c r="F6" s="169"/>
    </row>
    <row r="7" spans="1:6" x14ac:dyDescent="0.25">
      <c r="A7" s="41"/>
      <c r="B7" s="1"/>
      <c r="C7" s="140"/>
      <c r="D7" s="9" t="s">
        <v>2</v>
      </c>
      <c r="E7" s="60">
        <v>0.22470000000000001</v>
      </c>
      <c r="F7" s="140"/>
    </row>
    <row r="8" spans="1:6" x14ac:dyDescent="0.25">
      <c r="A8" s="41"/>
      <c r="B8" s="1"/>
      <c r="C8" s="140"/>
      <c r="D8" s="9" t="s">
        <v>1</v>
      </c>
      <c r="E8" s="61">
        <v>45658</v>
      </c>
      <c r="F8" s="140"/>
    </row>
    <row r="10" spans="1:6" ht="27.75" customHeight="1" x14ac:dyDescent="0.25">
      <c r="A10" s="150" t="s">
        <v>3</v>
      </c>
      <c r="B10" s="151" t="s">
        <v>6</v>
      </c>
      <c r="C10" s="152" t="s">
        <v>11</v>
      </c>
      <c r="D10" s="155" t="s">
        <v>326</v>
      </c>
      <c r="E10" s="155" t="s">
        <v>327</v>
      </c>
      <c r="F10" s="155" t="s">
        <v>328</v>
      </c>
    </row>
    <row r="11" spans="1:6" ht="31.5" customHeight="1" x14ac:dyDescent="0.25">
      <c r="A11" s="86" t="s">
        <v>95</v>
      </c>
      <c r="B11" s="124" t="s">
        <v>15</v>
      </c>
      <c r="C11" s="153">
        <f>Planilha1!I14</f>
        <v>9894.4061616611998</v>
      </c>
      <c r="D11" s="156">
        <f>C11</f>
        <v>9894.4061616611998</v>
      </c>
      <c r="E11" s="16"/>
      <c r="F11" s="16"/>
    </row>
    <row r="12" spans="1:6" ht="31.5" customHeight="1" x14ac:dyDescent="0.25">
      <c r="A12" s="86" t="s">
        <v>122</v>
      </c>
      <c r="B12" s="21" t="s">
        <v>244</v>
      </c>
      <c r="C12" s="153">
        <f>Planilha1!I29</f>
        <v>9302.5977228675001</v>
      </c>
      <c r="D12" s="156">
        <f>C12</f>
        <v>9302.5977228675001</v>
      </c>
      <c r="E12" s="16"/>
      <c r="F12" s="16"/>
    </row>
    <row r="13" spans="1:6" ht="31.5" customHeight="1" x14ac:dyDescent="0.25">
      <c r="A13" s="86" t="s">
        <v>33</v>
      </c>
      <c r="B13" s="21" t="s">
        <v>34</v>
      </c>
      <c r="C13" s="153">
        <f>Planilha1!I33</f>
        <v>9037.6490090359985</v>
      </c>
      <c r="D13" s="156">
        <f>C13/2</f>
        <v>4518.8245045179992</v>
      </c>
      <c r="E13" s="156">
        <f>C13/2</f>
        <v>4518.8245045179992</v>
      </c>
      <c r="F13" s="16"/>
    </row>
    <row r="14" spans="1:6" ht="31.5" customHeight="1" x14ac:dyDescent="0.25">
      <c r="A14" s="86" t="s">
        <v>43</v>
      </c>
      <c r="B14" s="21" t="s">
        <v>248</v>
      </c>
      <c r="C14" s="153">
        <f>Planilha1!I39</f>
        <v>17042.673156739998</v>
      </c>
      <c r="D14" s="16"/>
      <c r="E14" s="156">
        <f>C14/2</f>
        <v>8521.3365783699992</v>
      </c>
      <c r="F14" s="156">
        <f>C14/2</f>
        <v>8521.3365783699992</v>
      </c>
    </row>
    <row r="15" spans="1:6" ht="31.5" customHeight="1" x14ac:dyDescent="0.25">
      <c r="A15" s="86" t="s">
        <v>52</v>
      </c>
      <c r="B15" s="21" t="s">
        <v>135</v>
      </c>
      <c r="C15" s="153">
        <f>Planilha1!I48</f>
        <v>13900.53580826</v>
      </c>
      <c r="D15" s="16"/>
      <c r="E15" s="156">
        <f>C15/2</f>
        <v>6950.2679041299998</v>
      </c>
      <c r="F15" s="156">
        <f>C15/2</f>
        <v>6950.2679041299998</v>
      </c>
    </row>
    <row r="16" spans="1:6" ht="31.5" customHeight="1" x14ac:dyDescent="0.25">
      <c r="A16" s="86" t="s">
        <v>62</v>
      </c>
      <c r="B16" s="21" t="s">
        <v>72</v>
      </c>
      <c r="C16" s="153">
        <f>Planilha1!I62</f>
        <v>17970.182310999997</v>
      </c>
      <c r="D16" s="16"/>
      <c r="E16" s="156">
        <f>C16/2</f>
        <v>8985.0911554999984</v>
      </c>
      <c r="F16" s="156">
        <f>C16/2</f>
        <v>8985.0911554999984</v>
      </c>
    </row>
    <row r="17" spans="1:6" ht="31.5" customHeight="1" x14ac:dyDescent="0.25">
      <c r="A17" s="86" t="s">
        <v>69</v>
      </c>
      <c r="B17" s="21" t="s">
        <v>85</v>
      </c>
      <c r="C17" s="153">
        <f>Planilha1!I74</f>
        <v>22737.084570399998</v>
      </c>
      <c r="D17" s="16"/>
      <c r="E17" s="156">
        <f>C17/2</f>
        <v>11368.542285199999</v>
      </c>
      <c r="F17" s="156">
        <f>C17/2</f>
        <v>11368.542285199999</v>
      </c>
    </row>
    <row r="18" spans="1:6" ht="31.5" customHeight="1" x14ac:dyDescent="0.25">
      <c r="A18" s="86" t="s">
        <v>71</v>
      </c>
      <c r="B18" s="21" t="s">
        <v>89</v>
      </c>
      <c r="C18" s="153">
        <f>Planilha1!I81</f>
        <v>15342.57719376</v>
      </c>
      <c r="D18" s="16"/>
      <c r="E18" s="16"/>
      <c r="F18" s="156">
        <f>C18</f>
        <v>15342.57719376</v>
      </c>
    </row>
    <row r="19" spans="1:6" ht="31.5" customHeight="1" x14ac:dyDescent="0.25">
      <c r="A19" s="86" t="s">
        <v>230</v>
      </c>
      <c r="B19" s="21" t="s">
        <v>231</v>
      </c>
      <c r="C19" s="153">
        <f>Planilha1!I85</f>
        <v>3518.3049332400001</v>
      </c>
      <c r="D19" s="156">
        <f>C19</f>
        <v>3518.3049332400001</v>
      </c>
      <c r="E19" s="16"/>
      <c r="F19" s="16"/>
    </row>
    <row r="20" spans="1:6" ht="31.5" customHeight="1" x14ac:dyDescent="0.25">
      <c r="A20" s="86" t="s">
        <v>257</v>
      </c>
      <c r="B20" s="21" t="s">
        <v>258</v>
      </c>
      <c r="C20" s="153">
        <f>Planilha1!I92</f>
        <v>11029.337738549999</v>
      </c>
      <c r="D20" s="16"/>
      <c r="E20" s="156">
        <f>C20/2</f>
        <v>5514.6688692749995</v>
      </c>
      <c r="F20" s="156">
        <f>C20/2</f>
        <v>5514.6688692749995</v>
      </c>
    </row>
    <row r="21" spans="1:6" ht="31.5" customHeight="1" x14ac:dyDescent="0.25">
      <c r="A21" s="86" t="s">
        <v>301</v>
      </c>
      <c r="B21" s="21" t="s">
        <v>317</v>
      </c>
      <c r="C21" s="153">
        <f>Planilha1!I96</f>
        <v>5996.2683663999996</v>
      </c>
      <c r="D21" s="156">
        <f>C21</f>
        <v>5996.2683663999996</v>
      </c>
      <c r="E21" s="16"/>
      <c r="F21" s="16"/>
    </row>
    <row r="22" spans="1:6" ht="29.25" customHeight="1" x14ac:dyDescent="0.25">
      <c r="A22" s="97"/>
      <c r="B22" s="154" t="s">
        <v>329</v>
      </c>
      <c r="C22" s="146">
        <f>C19+C18+C17+C16+C15+C14+C13+C12+C11+C20+C21</f>
        <v>135771.61697191471</v>
      </c>
      <c r="D22" s="157">
        <f>SUM(D11:D21)</f>
        <v>33230.401688686703</v>
      </c>
      <c r="E22" s="157">
        <f>SUM(E11:E21)</f>
        <v>45858.731296992992</v>
      </c>
      <c r="F22" s="157">
        <f>SUM(F11:F21)</f>
        <v>56682.483986234991</v>
      </c>
    </row>
    <row r="23" spans="1:6" ht="29.25" customHeight="1" x14ac:dyDescent="0.25">
      <c r="A23" s="49"/>
      <c r="B23" s="40"/>
      <c r="C23" s="147"/>
      <c r="E23" s="130"/>
    </row>
    <row r="24" spans="1:6" x14ac:dyDescent="0.25">
      <c r="B24" s="176" t="s">
        <v>330</v>
      </c>
      <c r="C24" s="176"/>
      <c r="D24" s="176"/>
      <c r="E24" s="176"/>
      <c r="F24" s="176"/>
    </row>
    <row r="25" spans="1:6" x14ac:dyDescent="0.25">
      <c r="B25" s="47"/>
      <c r="C25" s="47"/>
      <c r="D25" s="47"/>
      <c r="E25" s="47"/>
      <c r="F25" s="148"/>
    </row>
    <row r="26" spans="1:6" x14ac:dyDescent="0.25">
      <c r="C26" s="47"/>
      <c r="F26" s="130"/>
    </row>
    <row r="27" spans="1:6" x14ac:dyDescent="0.25">
      <c r="B27" s="176" t="s">
        <v>331</v>
      </c>
      <c r="C27" s="176"/>
      <c r="D27" s="176"/>
      <c r="E27" s="176"/>
      <c r="F27" s="176"/>
    </row>
    <row r="28" spans="1:6" x14ac:dyDescent="0.25">
      <c r="B28" s="176" t="s">
        <v>332</v>
      </c>
      <c r="C28" s="176"/>
      <c r="D28" s="176"/>
      <c r="E28" s="176"/>
      <c r="F28" s="176"/>
    </row>
    <row r="29" spans="1:6" x14ac:dyDescent="0.25">
      <c r="B29" s="176" t="s">
        <v>333</v>
      </c>
      <c r="C29" s="176"/>
      <c r="D29" s="176"/>
      <c r="E29" s="176"/>
      <c r="F29" s="176"/>
    </row>
    <row r="30" spans="1:6" x14ac:dyDescent="0.25">
      <c r="B30" s="176" t="s">
        <v>96</v>
      </c>
      <c r="C30" s="176"/>
      <c r="D30" s="176"/>
      <c r="E30" s="176"/>
      <c r="F30" s="176"/>
    </row>
    <row r="31" spans="1:6" x14ac:dyDescent="0.25">
      <c r="C31" s="47"/>
      <c r="F31" s="130"/>
    </row>
  </sheetData>
  <mergeCells count="14">
    <mergeCell ref="B24:F24"/>
    <mergeCell ref="B27:F27"/>
    <mergeCell ref="B28:F28"/>
    <mergeCell ref="B29:F29"/>
    <mergeCell ref="B30:F30"/>
    <mergeCell ref="D2:D6"/>
    <mergeCell ref="E2:F3"/>
    <mergeCell ref="E4:F5"/>
    <mergeCell ref="E6:F6"/>
    <mergeCell ref="B2:C2"/>
    <mergeCell ref="B3:C3"/>
    <mergeCell ref="B4:C4"/>
    <mergeCell ref="B5:C5"/>
    <mergeCell ref="B6:C6"/>
  </mergeCells>
  <conditionalFormatting sqref="A11:A21">
    <cfRule type="expression" dxfId="88" priority="3">
      <formula>IF($F11="I",TRUE,FALSE)</formula>
    </cfRule>
    <cfRule type="expression" dxfId="87" priority="4">
      <formula>IF($F11="T",TRUE,FALSE)</formula>
    </cfRule>
  </conditionalFormatting>
  <conditionalFormatting sqref="B11">
    <cfRule type="expression" dxfId="86" priority="67">
      <formula>IF($F11="I",TRUE,FALSE)</formula>
    </cfRule>
    <cfRule type="expression" dxfId="85" priority="68">
      <formula>IF($F11="T",TRUE,FALSE)</formula>
    </cfRule>
  </conditionalFormatting>
  <conditionalFormatting sqref="C11:C21">
    <cfRule type="expression" dxfId="84" priority="50">
      <formula>IF($F11="I",TRUE,FALSE)</formula>
    </cfRule>
    <cfRule type="expression" dxfId="83" priority="51">
      <formula>IF($F11="T",TRUE,FALSE)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8" fitToHeight="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tabSelected="1" zoomScale="110" zoomScaleNormal="110" workbookViewId="0">
      <selection activeCell="E111" sqref="E111:I111"/>
    </sheetView>
  </sheetViews>
  <sheetFormatPr defaultRowHeight="15" x14ac:dyDescent="0.25"/>
  <cols>
    <col min="1" max="1" width="9.140625" style="47"/>
    <col min="2" max="2" width="11" style="47" customWidth="1"/>
    <col min="3" max="3" width="10.85546875" style="47" customWidth="1"/>
    <col min="4" max="4" width="54.85546875" customWidth="1"/>
    <col min="6" max="6" width="9.140625" style="47"/>
    <col min="7" max="7" width="14.5703125" customWidth="1"/>
    <col min="8" max="8" width="16.28515625" customWidth="1"/>
    <col min="9" max="9" width="16.42578125" style="130" customWidth="1"/>
    <col min="11" max="11" width="25" customWidth="1"/>
  </cols>
  <sheetData>
    <row r="1" spans="1:10" x14ac:dyDescent="0.25">
      <c r="A1" s="91"/>
      <c r="B1" s="41"/>
      <c r="C1" s="41"/>
      <c r="D1" s="2"/>
      <c r="E1" s="1"/>
      <c r="F1" s="41"/>
      <c r="G1" s="178"/>
      <c r="H1" s="56"/>
      <c r="I1" s="139"/>
      <c r="J1" s="67"/>
    </row>
    <row r="2" spans="1:10" x14ac:dyDescent="0.25">
      <c r="A2" s="91"/>
      <c r="B2" s="41"/>
      <c r="C2" s="41"/>
      <c r="D2" s="2"/>
      <c r="E2" s="1"/>
      <c r="F2" s="41"/>
      <c r="G2" s="178"/>
      <c r="H2" s="56"/>
      <c r="I2" s="139"/>
      <c r="J2" s="68"/>
    </row>
    <row r="3" spans="1:10" x14ac:dyDescent="0.25">
      <c r="A3" s="91"/>
      <c r="B3" s="41"/>
      <c r="C3" s="41"/>
      <c r="D3" s="2"/>
      <c r="E3" s="1"/>
      <c r="F3" s="41"/>
      <c r="G3" s="178"/>
      <c r="H3" s="57"/>
      <c r="I3" s="139"/>
      <c r="J3" s="69"/>
    </row>
    <row r="4" spans="1:10" x14ac:dyDescent="0.25">
      <c r="A4" s="91"/>
      <c r="B4" s="41"/>
      <c r="C4" s="41"/>
      <c r="D4" s="2"/>
      <c r="E4" s="1"/>
      <c r="F4" s="41"/>
      <c r="G4" s="3"/>
      <c r="H4" s="4"/>
      <c r="I4" s="140"/>
      <c r="J4" s="4"/>
    </row>
    <row r="5" spans="1:10" ht="15.75" x14ac:dyDescent="0.25">
      <c r="A5" s="66"/>
      <c r="B5" s="66"/>
      <c r="C5" s="66"/>
      <c r="D5" s="5"/>
      <c r="E5" s="6"/>
      <c r="F5" s="6" t="s">
        <v>0</v>
      </c>
      <c r="G5" s="158" t="s">
        <v>87</v>
      </c>
      <c r="H5" s="161" t="s">
        <v>227</v>
      </c>
      <c r="I5" s="162"/>
      <c r="J5" s="58"/>
    </row>
    <row r="6" spans="1:10" x14ac:dyDescent="0.25">
      <c r="A6" s="92"/>
      <c r="B6" s="48"/>
      <c r="C6" s="41"/>
      <c r="D6" s="7"/>
      <c r="E6" s="7"/>
      <c r="F6" s="8" t="s">
        <v>196</v>
      </c>
      <c r="G6" s="159"/>
      <c r="H6" s="163"/>
      <c r="I6" s="164"/>
      <c r="J6" s="58"/>
    </row>
    <row r="7" spans="1:10" x14ac:dyDescent="0.25">
      <c r="A7" s="92"/>
      <c r="B7" s="48"/>
      <c r="C7" s="41"/>
      <c r="D7" s="7"/>
      <c r="E7" s="7"/>
      <c r="F7" s="8" t="s">
        <v>299</v>
      </c>
      <c r="G7" s="159"/>
      <c r="H7" s="165" t="s">
        <v>229</v>
      </c>
      <c r="I7" s="166"/>
      <c r="J7" s="58"/>
    </row>
    <row r="8" spans="1:10" x14ac:dyDescent="0.25">
      <c r="A8" s="41"/>
      <c r="B8" s="42"/>
      <c r="C8" s="42"/>
      <c r="D8" s="7"/>
      <c r="E8" s="7"/>
      <c r="F8" s="74"/>
      <c r="G8" s="159"/>
      <c r="H8" s="167"/>
      <c r="I8" s="168"/>
      <c r="J8" s="58"/>
    </row>
    <row r="9" spans="1:10" x14ac:dyDescent="0.25">
      <c r="A9" s="41"/>
      <c r="B9" s="42"/>
      <c r="C9" s="42"/>
      <c r="D9" s="7"/>
      <c r="E9" s="7"/>
      <c r="F9" s="74"/>
      <c r="G9" s="160"/>
      <c r="H9" s="169" t="s">
        <v>228</v>
      </c>
      <c r="I9" s="169"/>
      <c r="J9" s="58"/>
    </row>
    <row r="10" spans="1:10" x14ac:dyDescent="0.25">
      <c r="A10" s="41"/>
      <c r="B10" s="41"/>
      <c r="C10" s="41"/>
      <c r="D10" s="1"/>
      <c r="E10" s="1"/>
      <c r="F10" s="75"/>
      <c r="G10" s="9" t="s">
        <v>2</v>
      </c>
      <c r="H10" s="60">
        <v>0.22470000000000001</v>
      </c>
      <c r="I10" s="140"/>
      <c r="J10" s="59"/>
    </row>
    <row r="11" spans="1:10" x14ac:dyDescent="0.25">
      <c r="A11" s="41"/>
      <c r="B11" s="41"/>
      <c r="C11" s="41"/>
      <c r="D11" s="1"/>
      <c r="E11" s="1"/>
      <c r="F11" s="75"/>
      <c r="G11" s="9" t="s">
        <v>1</v>
      </c>
      <c r="H11" s="61">
        <v>45658</v>
      </c>
      <c r="I11" s="140"/>
      <c r="J11" s="59"/>
    </row>
    <row r="13" spans="1:10" x14ac:dyDescent="0.25">
      <c r="A13" s="43" t="s">
        <v>3</v>
      </c>
      <c r="B13" s="43" t="s">
        <v>4</v>
      </c>
      <c r="C13" s="43" t="s">
        <v>5</v>
      </c>
      <c r="D13" s="10" t="s">
        <v>6</v>
      </c>
      <c r="E13" s="10" t="s">
        <v>7</v>
      </c>
      <c r="F13" s="43" t="s">
        <v>8</v>
      </c>
      <c r="G13" s="10" t="s">
        <v>9</v>
      </c>
      <c r="H13" s="10" t="s">
        <v>10</v>
      </c>
      <c r="I13" s="141" t="s">
        <v>11</v>
      </c>
    </row>
    <row r="14" spans="1:10" x14ac:dyDescent="0.25">
      <c r="A14" s="93" t="s">
        <v>95</v>
      </c>
      <c r="B14" s="65"/>
      <c r="C14" s="13"/>
      <c r="D14" s="11" t="s">
        <v>15</v>
      </c>
      <c r="E14" s="13"/>
      <c r="F14" s="14"/>
      <c r="G14" s="12"/>
      <c r="H14" s="12"/>
      <c r="I14" s="142">
        <f>SUM(I15:I28)</f>
        <v>9894.4061616611998</v>
      </c>
    </row>
    <row r="15" spans="1:10" ht="25.5" x14ac:dyDescent="0.25">
      <c r="A15" s="23" t="s">
        <v>94</v>
      </c>
      <c r="B15" s="39" t="s">
        <v>16</v>
      </c>
      <c r="C15" s="23" t="s">
        <v>12</v>
      </c>
      <c r="D15" s="55" t="s">
        <v>17</v>
      </c>
      <c r="E15" s="23" t="s">
        <v>13</v>
      </c>
      <c r="F15" s="24">
        <f>MEMÓRIA!D3</f>
        <v>96.6875</v>
      </c>
      <c r="G15" s="72">
        <v>33.92</v>
      </c>
      <c r="H15" s="72">
        <f>G15*(1+$H$10)</f>
        <v>41.541823999999998</v>
      </c>
      <c r="I15" s="72">
        <f t="shared" ref="I15" si="0">H15*F15</f>
        <v>4016.575108</v>
      </c>
    </row>
    <row r="16" spans="1:10" ht="30" x14ac:dyDescent="0.25">
      <c r="A16" s="23" t="s">
        <v>107</v>
      </c>
      <c r="B16" s="44" t="s">
        <v>29</v>
      </c>
      <c r="C16" s="44" t="s">
        <v>12</v>
      </c>
      <c r="D16" s="22" t="s">
        <v>28</v>
      </c>
      <c r="E16" s="23" t="s">
        <v>14</v>
      </c>
      <c r="F16" s="24">
        <f>MEMÓRIA!D4</f>
        <v>5.2</v>
      </c>
      <c r="G16" s="72">
        <v>14.26</v>
      </c>
      <c r="H16" s="72">
        <f t="shared" ref="H16:H28" si="1">G16*(1+$H$10)</f>
        <v>17.464221999999999</v>
      </c>
      <c r="I16" s="72">
        <f>H16*F16</f>
        <v>90.8139544</v>
      </c>
    </row>
    <row r="17" spans="1:9" x14ac:dyDescent="0.25">
      <c r="A17" s="23" t="s">
        <v>108</v>
      </c>
      <c r="B17" s="44" t="s">
        <v>22</v>
      </c>
      <c r="C17" s="44" t="s">
        <v>12</v>
      </c>
      <c r="D17" s="21" t="s">
        <v>21</v>
      </c>
      <c r="E17" s="23" t="s">
        <v>23</v>
      </c>
      <c r="F17" s="24">
        <f>MEMÓRIA!D5</f>
        <v>1</v>
      </c>
      <c r="G17" s="72">
        <v>23.77</v>
      </c>
      <c r="H17" s="72">
        <f t="shared" si="1"/>
        <v>29.111118999999999</v>
      </c>
      <c r="I17" s="72">
        <f t="shared" ref="I17" si="2">H17*F17</f>
        <v>29.111118999999999</v>
      </c>
    </row>
    <row r="18" spans="1:9" ht="30" x14ac:dyDescent="0.25">
      <c r="A18" s="23" t="s">
        <v>109</v>
      </c>
      <c r="B18" s="44" t="s">
        <v>31</v>
      </c>
      <c r="C18" s="44" t="s">
        <v>12</v>
      </c>
      <c r="D18" s="22" t="s">
        <v>18</v>
      </c>
      <c r="E18" s="23" t="s">
        <v>32</v>
      </c>
      <c r="F18" s="24">
        <f>MEMÓRIA!D6</f>
        <v>1.425</v>
      </c>
      <c r="G18" s="72">
        <v>85.72</v>
      </c>
      <c r="H18" s="72">
        <f t="shared" si="1"/>
        <v>104.98128399999999</v>
      </c>
      <c r="I18" s="72">
        <f t="shared" ref="I18:I21" si="3">H18*F18</f>
        <v>149.59832969999999</v>
      </c>
    </row>
    <row r="19" spans="1:9" ht="30" x14ac:dyDescent="0.25">
      <c r="A19" s="23" t="s">
        <v>110</v>
      </c>
      <c r="B19" s="44" t="s">
        <v>97</v>
      </c>
      <c r="C19" s="44" t="s">
        <v>12</v>
      </c>
      <c r="D19" s="22" t="s">
        <v>98</v>
      </c>
      <c r="E19" s="70" t="s">
        <v>30</v>
      </c>
      <c r="F19" s="71">
        <f>MEMÓRIA!D7</f>
        <v>90.6</v>
      </c>
      <c r="G19" s="73">
        <v>6.43</v>
      </c>
      <c r="H19" s="72">
        <f t="shared" si="1"/>
        <v>7.874820999999999</v>
      </c>
      <c r="I19" s="72">
        <f t="shared" si="3"/>
        <v>713.45878259999984</v>
      </c>
    </row>
    <row r="20" spans="1:9" x14ac:dyDescent="0.25">
      <c r="A20" s="23" t="s">
        <v>114</v>
      </c>
      <c r="B20" s="44" t="s">
        <v>113</v>
      </c>
      <c r="C20" s="44" t="s">
        <v>12</v>
      </c>
      <c r="D20" s="16" t="s">
        <v>112</v>
      </c>
      <c r="E20" s="70" t="s">
        <v>30</v>
      </c>
      <c r="F20" s="71">
        <f>MEMÓRIA!D8</f>
        <v>2.4500000000000002</v>
      </c>
      <c r="G20" s="73">
        <v>66.53</v>
      </c>
      <c r="H20" s="72">
        <f t="shared" si="1"/>
        <v>81.479290999999989</v>
      </c>
      <c r="I20" s="72">
        <f t="shared" si="3"/>
        <v>199.62426295</v>
      </c>
    </row>
    <row r="21" spans="1:9" x14ac:dyDescent="0.25">
      <c r="A21" s="23" t="s">
        <v>117</v>
      </c>
      <c r="B21" s="44" t="s">
        <v>27</v>
      </c>
      <c r="C21" s="44" t="s">
        <v>12</v>
      </c>
      <c r="D21" s="16" t="s">
        <v>26</v>
      </c>
      <c r="E21" s="70" t="s">
        <v>23</v>
      </c>
      <c r="F21" s="71">
        <f>MEMÓRIA!D9</f>
        <v>3</v>
      </c>
      <c r="G21" s="73">
        <v>46.86</v>
      </c>
      <c r="H21" s="72">
        <f t="shared" si="1"/>
        <v>57.389441999999995</v>
      </c>
      <c r="I21" s="72">
        <f t="shared" si="3"/>
        <v>172.16832599999998</v>
      </c>
    </row>
    <row r="22" spans="1:9" x14ac:dyDescent="0.25">
      <c r="A22" s="23" t="s">
        <v>144</v>
      </c>
      <c r="B22" s="18" t="s">
        <v>143</v>
      </c>
      <c r="C22" s="44" t="s">
        <v>12</v>
      </c>
      <c r="D22" s="16" t="s">
        <v>140</v>
      </c>
      <c r="E22" s="70" t="s">
        <v>30</v>
      </c>
      <c r="F22" s="71">
        <f>MEMÓRIA!D10</f>
        <v>14.33</v>
      </c>
      <c r="G22" s="73">
        <v>19.010000000000002</v>
      </c>
      <c r="H22" s="72">
        <f t="shared" si="1"/>
        <v>23.281547</v>
      </c>
      <c r="I22" s="72">
        <f>H22*F22</f>
        <v>333.62456851000002</v>
      </c>
    </row>
    <row r="23" spans="1:9" x14ac:dyDescent="0.25">
      <c r="A23" s="23" t="s">
        <v>145</v>
      </c>
      <c r="B23" s="18" t="s">
        <v>142</v>
      </c>
      <c r="C23" s="44" t="s">
        <v>12</v>
      </c>
      <c r="D23" s="16" t="s">
        <v>141</v>
      </c>
      <c r="E23" s="70" t="s">
        <v>30</v>
      </c>
      <c r="F23" s="71">
        <f>MEMÓRIA!D11</f>
        <v>14.33</v>
      </c>
      <c r="G23" s="73">
        <v>17.14</v>
      </c>
      <c r="H23" s="72">
        <f t="shared" si="1"/>
        <v>20.991357999999998</v>
      </c>
      <c r="I23" s="72">
        <f>H23*F23</f>
        <v>300.80616013999997</v>
      </c>
    </row>
    <row r="24" spans="1:9" x14ac:dyDescent="0.25">
      <c r="A24" s="23" t="s">
        <v>151</v>
      </c>
      <c r="B24" s="18" t="s">
        <v>150</v>
      </c>
      <c r="C24" s="44" t="s">
        <v>12</v>
      </c>
      <c r="D24" s="16" t="s">
        <v>149</v>
      </c>
      <c r="E24" s="70" t="s">
        <v>14</v>
      </c>
      <c r="F24" s="71">
        <f>MEMÓRIA!D12</f>
        <v>25</v>
      </c>
      <c r="G24" s="73">
        <v>4.93</v>
      </c>
      <c r="H24" s="72">
        <f t="shared" si="1"/>
        <v>6.0377709999999993</v>
      </c>
      <c r="I24" s="72">
        <f>H24*F24</f>
        <v>150.94427499999998</v>
      </c>
    </row>
    <row r="25" spans="1:9" ht="30" x14ac:dyDescent="0.25">
      <c r="A25" s="86" t="s">
        <v>167</v>
      </c>
      <c r="B25" s="44" t="s">
        <v>166</v>
      </c>
      <c r="C25" s="44" t="s">
        <v>12</v>
      </c>
      <c r="D25" s="17" t="s">
        <v>165</v>
      </c>
      <c r="E25" s="118" t="s">
        <v>30</v>
      </c>
      <c r="F25" s="119">
        <f>MEMÓRIA!D13</f>
        <v>141.19200000000001</v>
      </c>
      <c r="G25" s="120">
        <v>6.43</v>
      </c>
      <c r="H25" s="121">
        <f t="shared" si="1"/>
        <v>7.874820999999999</v>
      </c>
      <c r="I25" s="121">
        <f>H25*F25</f>
        <v>1111.861726632</v>
      </c>
    </row>
    <row r="26" spans="1:9" ht="30" x14ac:dyDescent="0.25">
      <c r="A26" s="105" t="s">
        <v>253</v>
      </c>
      <c r="B26" s="106" t="s">
        <v>250</v>
      </c>
      <c r="C26" s="106" t="s">
        <v>12</v>
      </c>
      <c r="D26" s="107" t="s">
        <v>249</v>
      </c>
      <c r="E26" s="108" t="s">
        <v>19</v>
      </c>
      <c r="F26" s="109">
        <f>MEMÓRIA!D14</f>
        <v>10</v>
      </c>
      <c r="G26" s="110">
        <v>21.07</v>
      </c>
      <c r="H26" s="111">
        <f t="shared" si="1"/>
        <v>25.804428999999999</v>
      </c>
      <c r="I26" s="121">
        <f t="shared" ref="I26:I28" si="4">H26*F26</f>
        <v>258.04428999999999</v>
      </c>
    </row>
    <row r="27" spans="1:9" x14ac:dyDescent="0.25">
      <c r="A27" s="105" t="s">
        <v>254</v>
      </c>
      <c r="B27" s="106" t="s">
        <v>252</v>
      </c>
      <c r="C27" s="106" t="s">
        <v>12</v>
      </c>
      <c r="D27" s="107" t="s">
        <v>251</v>
      </c>
      <c r="E27" s="108" t="s">
        <v>32</v>
      </c>
      <c r="F27" s="109">
        <f>MEMÓRIA!D15</f>
        <v>2.25</v>
      </c>
      <c r="G27" s="110">
        <v>235.73</v>
      </c>
      <c r="H27" s="111">
        <f t="shared" si="1"/>
        <v>288.69853099999995</v>
      </c>
      <c r="I27" s="121">
        <f t="shared" si="4"/>
        <v>649.57169474999989</v>
      </c>
    </row>
    <row r="28" spans="1:9" ht="49.5" customHeight="1" x14ac:dyDescent="0.25">
      <c r="A28" s="105" t="s">
        <v>255</v>
      </c>
      <c r="B28" s="106" t="s">
        <v>256</v>
      </c>
      <c r="C28" s="106" t="s">
        <v>12</v>
      </c>
      <c r="D28" s="107" t="s">
        <v>288</v>
      </c>
      <c r="E28" s="108" t="s">
        <v>32</v>
      </c>
      <c r="F28" s="109">
        <f>MEMÓRIA!D16</f>
        <v>11.4846</v>
      </c>
      <c r="G28" s="110">
        <v>122.16</v>
      </c>
      <c r="H28" s="111">
        <f t="shared" si="1"/>
        <v>149.60935199999997</v>
      </c>
      <c r="I28" s="121">
        <f t="shared" si="4"/>
        <v>1718.2035639791998</v>
      </c>
    </row>
    <row r="29" spans="1:9" x14ac:dyDescent="0.25">
      <c r="A29" s="94" t="s">
        <v>122</v>
      </c>
      <c r="B29" s="45"/>
      <c r="C29" s="45"/>
      <c r="D29" s="34" t="s">
        <v>244</v>
      </c>
      <c r="E29" s="35"/>
      <c r="F29" s="36"/>
      <c r="G29" s="37"/>
      <c r="H29" s="38"/>
      <c r="I29" s="143">
        <f>SUM(I30:I32)</f>
        <v>9302.5977228675001</v>
      </c>
    </row>
    <row r="30" spans="1:9" ht="30" x14ac:dyDescent="0.25">
      <c r="A30" s="23" t="s">
        <v>24</v>
      </c>
      <c r="B30" s="44" t="s">
        <v>47</v>
      </c>
      <c r="C30" s="44" t="s">
        <v>12</v>
      </c>
      <c r="D30" s="22" t="s">
        <v>46</v>
      </c>
      <c r="E30" s="23" t="s">
        <v>30</v>
      </c>
      <c r="F30" s="24">
        <f>MEMÓRIA!D18</f>
        <v>4.5</v>
      </c>
      <c r="G30" s="25">
        <v>85.33</v>
      </c>
      <c r="H30" s="72">
        <f t="shared" ref="H30:H32" si="5">G30*(1+$H$10)</f>
        <v>104.50365099999999</v>
      </c>
      <c r="I30" s="54">
        <f>H30*F30</f>
        <v>470.26642949999996</v>
      </c>
    </row>
    <row r="31" spans="1:9" ht="30" x14ac:dyDescent="0.25">
      <c r="A31" s="51" t="s">
        <v>25</v>
      </c>
      <c r="B31" s="49" t="s">
        <v>49</v>
      </c>
      <c r="C31" s="50" t="s">
        <v>12</v>
      </c>
      <c r="D31" s="40" t="s">
        <v>48</v>
      </c>
      <c r="E31" s="51" t="s">
        <v>30</v>
      </c>
      <c r="F31" s="52">
        <f>MEMÓRIA!D19</f>
        <v>42.673500000000004</v>
      </c>
      <c r="G31" s="53">
        <v>157.15</v>
      </c>
      <c r="H31" s="104">
        <f t="shared" si="5"/>
        <v>192.46160499999999</v>
      </c>
      <c r="I31" s="144">
        <f>H31*F31</f>
        <v>8213.0103009675004</v>
      </c>
    </row>
    <row r="32" spans="1:9" x14ac:dyDescent="0.25">
      <c r="A32" s="23" t="s">
        <v>247</v>
      </c>
      <c r="B32" s="44" t="s">
        <v>246</v>
      </c>
      <c r="C32" s="44" t="s">
        <v>12</v>
      </c>
      <c r="D32" s="22" t="s">
        <v>245</v>
      </c>
      <c r="E32" s="23" t="s">
        <v>30</v>
      </c>
      <c r="F32" s="24">
        <f>MEMÓRIA!D20</f>
        <v>0.89999999999999991</v>
      </c>
      <c r="G32" s="25">
        <v>561.88</v>
      </c>
      <c r="H32" s="72">
        <f t="shared" si="5"/>
        <v>688.13443599999994</v>
      </c>
      <c r="I32" s="54">
        <f>H32*F32</f>
        <v>619.32099239999991</v>
      </c>
    </row>
    <row r="33" spans="1:9" x14ac:dyDescent="0.25">
      <c r="A33" s="94" t="s">
        <v>33</v>
      </c>
      <c r="B33" s="45"/>
      <c r="C33" s="45"/>
      <c r="D33" s="34" t="s">
        <v>34</v>
      </c>
      <c r="E33" s="35"/>
      <c r="F33" s="36"/>
      <c r="G33" s="37"/>
      <c r="H33" s="38"/>
      <c r="I33" s="143">
        <f>SUM(I34:I38)</f>
        <v>9037.6490090359985</v>
      </c>
    </row>
    <row r="34" spans="1:9" x14ac:dyDescent="0.25">
      <c r="A34" s="23" t="s">
        <v>35</v>
      </c>
      <c r="B34" s="44" t="s">
        <v>41</v>
      </c>
      <c r="C34" s="44" t="s">
        <v>12</v>
      </c>
      <c r="D34" s="21" t="s">
        <v>39</v>
      </c>
      <c r="E34" s="23" t="s">
        <v>30</v>
      </c>
      <c r="F34" s="24">
        <f>MEMÓRIA!D22</f>
        <v>150.19200000000001</v>
      </c>
      <c r="G34" s="25">
        <v>7.33</v>
      </c>
      <c r="H34" s="72">
        <f t="shared" ref="H34:H38" si="6">G34*(1+$H$10)</f>
        <v>8.9770509999999994</v>
      </c>
      <c r="I34" s="54">
        <f t="shared" ref="I34:I38" si="7">H34*F34</f>
        <v>1348.2812437919999</v>
      </c>
    </row>
    <row r="35" spans="1:9" x14ac:dyDescent="0.25">
      <c r="A35" s="23" t="s">
        <v>36</v>
      </c>
      <c r="B35" s="44" t="s">
        <v>38</v>
      </c>
      <c r="C35" s="44" t="s">
        <v>12</v>
      </c>
      <c r="D35" s="21" t="s">
        <v>37</v>
      </c>
      <c r="E35" s="23" t="s">
        <v>30</v>
      </c>
      <c r="F35" s="24">
        <f>MEMÓRIA!D23</f>
        <v>95.347000000000008</v>
      </c>
      <c r="G35" s="25">
        <v>23.57</v>
      </c>
      <c r="H35" s="72">
        <f t="shared" si="6"/>
        <v>28.866178999999999</v>
      </c>
      <c r="I35" s="54">
        <f t="shared" si="7"/>
        <v>2752.3035691130003</v>
      </c>
    </row>
    <row r="36" spans="1:9" x14ac:dyDescent="0.25">
      <c r="A36" s="23" t="s">
        <v>123</v>
      </c>
      <c r="B36" s="44" t="s">
        <v>42</v>
      </c>
      <c r="C36" s="44" t="s">
        <v>12</v>
      </c>
      <c r="D36" s="21" t="s">
        <v>40</v>
      </c>
      <c r="E36" s="23" t="s">
        <v>30</v>
      </c>
      <c r="F36" s="24">
        <f>MEMÓRIA!D24</f>
        <v>4.05</v>
      </c>
      <c r="G36" s="25">
        <v>13.82</v>
      </c>
      <c r="H36" s="72">
        <f t="shared" si="6"/>
        <v>16.925353999999999</v>
      </c>
      <c r="I36" s="54">
        <f t="shared" si="7"/>
        <v>68.547683699999993</v>
      </c>
    </row>
    <row r="37" spans="1:9" x14ac:dyDescent="0.25">
      <c r="A37" s="95" t="s">
        <v>124</v>
      </c>
      <c r="B37" s="47" t="s">
        <v>50</v>
      </c>
      <c r="C37" s="50" t="s">
        <v>12</v>
      </c>
      <c r="D37" s="27" t="s">
        <v>51</v>
      </c>
      <c r="E37" s="51" t="s">
        <v>30</v>
      </c>
      <c r="F37" s="52">
        <f>MEMÓRIA!D25</f>
        <v>85.347000000000008</v>
      </c>
      <c r="G37" s="53">
        <v>22.59</v>
      </c>
      <c r="H37" s="72">
        <f t="shared" si="6"/>
        <v>27.665972999999997</v>
      </c>
      <c r="I37" s="144">
        <f t="shared" si="7"/>
        <v>2361.2077976310002</v>
      </c>
    </row>
    <row r="38" spans="1:9" ht="30" x14ac:dyDescent="0.25">
      <c r="A38" s="23" t="s">
        <v>125</v>
      </c>
      <c r="B38" s="44" t="s">
        <v>290</v>
      </c>
      <c r="C38" s="44" t="s">
        <v>12</v>
      </c>
      <c r="D38" s="17" t="s">
        <v>289</v>
      </c>
      <c r="E38" s="23" t="s">
        <v>30</v>
      </c>
      <c r="F38" s="24">
        <f>MEMÓRIA!D26</f>
        <v>141.19200000000001</v>
      </c>
      <c r="G38" s="25">
        <v>14.5</v>
      </c>
      <c r="H38" s="72">
        <f t="shared" si="6"/>
        <v>17.758149999999997</v>
      </c>
      <c r="I38" s="54">
        <f t="shared" si="7"/>
        <v>2507.3087147999995</v>
      </c>
    </row>
    <row r="39" spans="1:9" x14ac:dyDescent="0.25">
      <c r="A39" s="96" t="s">
        <v>43</v>
      </c>
      <c r="B39" s="46"/>
      <c r="C39" s="46"/>
      <c r="D39" s="29" t="s">
        <v>248</v>
      </c>
      <c r="E39" s="30"/>
      <c r="F39" s="31"/>
      <c r="G39" s="32"/>
      <c r="H39" s="33"/>
      <c r="I39" s="145">
        <f>SUM(I40:I47)</f>
        <v>17042.673156739998</v>
      </c>
    </row>
    <row r="40" spans="1:9" x14ac:dyDescent="0.25">
      <c r="A40" s="23" t="s">
        <v>44</v>
      </c>
      <c r="B40" s="18" t="s">
        <v>60</v>
      </c>
      <c r="C40" s="44" t="s">
        <v>12</v>
      </c>
      <c r="D40" s="17" t="s">
        <v>59</v>
      </c>
      <c r="E40" s="23" t="s">
        <v>19</v>
      </c>
      <c r="F40" s="24">
        <f>MEMÓRIA!D28</f>
        <v>3</v>
      </c>
      <c r="G40" s="25">
        <v>1333.59</v>
      </c>
      <c r="H40" s="72">
        <f t="shared" ref="H40:H47" si="8">G40*(1+$H$10)</f>
        <v>1633.2476729999998</v>
      </c>
      <c r="I40" s="54">
        <f t="shared" ref="I40:I43" si="9">H40*F40</f>
        <v>4899.7430189999995</v>
      </c>
    </row>
    <row r="41" spans="1:9" x14ac:dyDescent="0.25">
      <c r="A41" s="23" t="s">
        <v>45</v>
      </c>
      <c r="B41" s="47" t="s">
        <v>121</v>
      </c>
      <c r="C41" s="44" t="s">
        <v>12</v>
      </c>
      <c r="D41" t="s">
        <v>120</v>
      </c>
      <c r="E41" s="23" t="s">
        <v>19</v>
      </c>
      <c r="F41" s="24">
        <f>MEMÓRIA!D29</f>
        <v>1</v>
      </c>
      <c r="G41" s="25">
        <v>1246.45</v>
      </c>
      <c r="H41" s="72">
        <f t="shared" si="8"/>
        <v>1526.527315</v>
      </c>
      <c r="I41" s="54">
        <f>H41*F41</f>
        <v>1526.527315</v>
      </c>
    </row>
    <row r="42" spans="1:9" x14ac:dyDescent="0.25">
      <c r="A42" s="23" t="s">
        <v>126</v>
      </c>
      <c r="B42" s="18" t="s">
        <v>104</v>
      </c>
      <c r="C42" s="44" t="s">
        <v>12</v>
      </c>
      <c r="D42" s="16" t="s">
        <v>103</v>
      </c>
      <c r="E42" s="23" t="s">
        <v>30</v>
      </c>
      <c r="F42" s="24">
        <f>MEMÓRIA!D30</f>
        <v>1.8900000000000001</v>
      </c>
      <c r="G42" s="25">
        <v>611.11</v>
      </c>
      <c r="H42" s="72">
        <f t="shared" si="8"/>
        <v>748.4264169999999</v>
      </c>
      <c r="I42" s="54">
        <f t="shared" si="9"/>
        <v>1414.52592813</v>
      </c>
    </row>
    <row r="43" spans="1:9" x14ac:dyDescent="0.25">
      <c r="A43" s="51" t="s">
        <v>127</v>
      </c>
      <c r="B43" s="47" t="s">
        <v>106</v>
      </c>
      <c r="C43" s="50" t="s">
        <v>12</v>
      </c>
      <c r="D43" t="s">
        <v>105</v>
      </c>
      <c r="E43" s="51" t="s">
        <v>30</v>
      </c>
      <c r="F43" s="52">
        <f>MEMÓRIA!D31</f>
        <v>2.2399999999999998</v>
      </c>
      <c r="G43" s="53">
        <v>247.07</v>
      </c>
      <c r="H43" s="72">
        <f t="shared" si="8"/>
        <v>302.58662899999996</v>
      </c>
      <c r="I43" s="144">
        <f t="shared" si="9"/>
        <v>677.79404895999983</v>
      </c>
    </row>
    <row r="44" spans="1:9" x14ac:dyDescent="0.25">
      <c r="A44" s="23" t="s">
        <v>201</v>
      </c>
      <c r="B44" s="18" t="s">
        <v>282</v>
      </c>
      <c r="C44" s="44" t="s">
        <v>12</v>
      </c>
      <c r="D44" s="16" t="s">
        <v>281</v>
      </c>
      <c r="E44" s="23" t="s">
        <v>30</v>
      </c>
      <c r="F44" s="24">
        <f>MEMÓRIA!D32</f>
        <v>1.2</v>
      </c>
      <c r="G44" s="25">
        <v>880.78</v>
      </c>
      <c r="H44" s="72">
        <f t="shared" si="8"/>
        <v>1078.6912659999998</v>
      </c>
      <c r="I44" s="54">
        <f t="shared" ref="I44:I47" si="10">H44*F44</f>
        <v>1294.4295191999997</v>
      </c>
    </row>
    <row r="45" spans="1:9" x14ac:dyDescent="0.25">
      <c r="A45" s="23" t="s">
        <v>202</v>
      </c>
      <c r="B45" s="18" t="s">
        <v>280</v>
      </c>
      <c r="C45" s="44" t="s">
        <v>12</v>
      </c>
      <c r="D45" s="16" t="s">
        <v>279</v>
      </c>
      <c r="E45" s="23" t="s">
        <v>30</v>
      </c>
      <c r="F45" s="24">
        <f>MEMÓRIA!D33</f>
        <v>2.5</v>
      </c>
      <c r="G45" s="25">
        <v>1197.44</v>
      </c>
      <c r="H45" s="72">
        <f t="shared" si="8"/>
        <v>1466.504768</v>
      </c>
      <c r="I45" s="54">
        <f t="shared" si="10"/>
        <v>3666.2619199999999</v>
      </c>
    </row>
    <row r="46" spans="1:9" x14ac:dyDescent="0.25">
      <c r="A46" s="23" t="s">
        <v>205</v>
      </c>
      <c r="B46" s="18" t="s">
        <v>204</v>
      </c>
      <c r="C46" s="44" t="s">
        <v>12</v>
      </c>
      <c r="D46" s="16" t="s">
        <v>203</v>
      </c>
      <c r="E46" s="23" t="s">
        <v>30</v>
      </c>
      <c r="F46" s="24">
        <f>MEMÓRIA!D34</f>
        <v>3.7</v>
      </c>
      <c r="G46" s="25">
        <v>164.84</v>
      </c>
      <c r="H46" s="72">
        <f t="shared" si="8"/>
        <v>201.879548</v>
      </c>
      <c r="I46" s="54">
        <f t="shared" si="10"/>
        <v>746.95432760000006</v>
      </c>
    </row>
    <row r="47" spans="1:9" ht="30" x14ac:dyDescent="0.25">
      <c r="A47" s="23" t="s">
        <v>208</v>
      </c>
      <c r="B47" s="44" t="s">
        <v>207</v>
      </c>
      <c r="C47" s="44" t="s">
        <v>12</v>
      </c>
      <c r="D47" s="22" t="s">
        <v>206</v>
      </c>
      <c r="E47" s="23" t="s">
        <v>30</v>
      </c>
      <c r="F47" s="24">
        <f>MEMÓRIA!D35</f>
        <v>9.0500000000000007</v>
      </c>
      <c r="G47" s="25">
        <v>254.11</v>
      </c>
      <c r="H47" s="72">
        <f t="shared" si="8"/>
        <v>311.20851699999997</v>
      </c>
      <c r="I47" s="54">
        <f t="shared" si="10"/>
        <v>2816.43707885</v>
      </c>
    </row>
    <row r="48" spans="1:9" x14ac:dyDescent="0.25">
      <c r="A48" s="96" t="s">
        <v>52</v>
      </c>
      <c r="B48" s="46"/>
      <c r="C48" s="46"/>
      <c r="D48" s="29" t="s">
        <v>135</v>
      </c>
      <c r="E48" s="30"/>
      <c r="F48" s="31"/>
      <c r="G48" s="32"/>
      <c r="H48" s="33"/>
      <c r="I48" s="145">
        <f>SUM(I49:I61)</f>
        <v>13900.53580826</v>
      </c>
    </row>
    <row r="49" spans="1:9" ht="30" x14ac:dyDescent="0.25">
      <c r="A49" s="23" t="s">
        <v>53</v>
      </c>
      <c r="B49" s="44" t="s">
        <v>100</v>
      </c>
      <c r="C49" s="44" t="s">
        <v>12</v>
      </c>
      <c r="D49" s="22" t="s">
        <v>99</v>
      </c>
      <c r="E49" s="23" t="s">
        <v>19</v>
      </c>
      <c r="F49" s="24">
        <f>MEMÓRIA!D37</f>
        <v>1</v>
      </c>
      <c r="G49" s="25">
        <v>1761.66</v>
      </c>
      <c r="H49" s="72">
        <f t="shared" ref="H49:H61" si="11">G49*(1+$H$10)</f>
        <v>2157.5050019999999</v>
      </c>
      <c r="I49" s="54">
        <f>F49*H49</f>
        <v>2157.5050019999999</v>
      </c>
    </row>
    <row r="50" spans="1:9" ht="45" x14ac:dyDescent="0.25">
      <c r="A50" s="23" t="s">
        <v>54</v>
      </c>
      <c r="B50" s="44" t="s">
        <v>102</v>
      </c>
      <c r="C50" s="44" t="s">
        <v>12</v>
      </c>
      <c r="D50" s="22" t="s">
        <v>101</v>
      </c>
      <c r="E50" s="23" t="s">
        <v>19</v>
      </c>
      <c r="F50" s="24">
        <f>MEMÓRIA!D38</f>
        <v>2</v>
      </c>
      <c r="G50" s="25">
        <v>166.21</v>
      </c>
      <c r="H50" s="72">
        <f t="shared" si="11"/>
        <v>203.55738700000001</v>
      </c>
      <c r="I50" s="54">
        <f t="shared" ref="I50:I54" si="12">H50*F50</f>
        <v>407.11477400000001</v>
      </c>
    </row>
    <row r="51" spans="1:9" x14ac:dyDescent="0.25">
      <c r="A51" s="23" t="s">
        <v>55</v>
      </c>
      <c r="B51" s="44" t="s">
        <v>130</v>
      </c>
      <c r="C51" s="44" t="s">
        <v>12</v>
      </c>
      <c r="D51" s="21" t="s">
        <v>129</v>
      </c>
      <c r="E51" s="23" t="s">
        <v>19</v>
      </c>
      <c r="F51" s="24">
        <f>MEMÓRIA!D39</f>
        <v>1</v>
      </c>
      <c r="G51" s="25">
        <v>346.86</v>
      </c>
      <c r="H51" s="72">
        <f t="shared" si="11"/>
        <v>424.799442</v>
      </c>
      <c r="I51" s="54">
        <f t="shared" si="12"/>
        <v>424.799442</v>
      </c>
    </row>
    <row r="52" spans="1:9" x14ac:dyDescent="0.25">
      <c r="A52" s="23" t="s">
        <v>56</v>
      </c>
      <c r="B52" s="44" t="s">
        <v>132</v>
      </c>
      <c r="C52" s="44" t="s">
        <v>12</v>
      </c>
      <c r="D52" s="21" t="s">
        <v>131</v>
      </c>
      <c r="E52" s="23" t="s">
        <v>19</v>
      </c>
      <c r="F52" s="24">
        <f>MEMÓRIA!D40</f>
        <v>1</v>
      </c>
      <c r="G52" s="25">
        <v>266.33999999999997</v>
      </c>
      <c r="H52" s="72">
        <f t="shared" si="11"/>
        <v>326.18659799999995</v>
      </c>
      <c r="I52" s="54">
        <f t="shared" si="12"/>
        <v>326.18659799999995</v>
      </c>
    </row>
    <row r="53" spans="1:9" ht="30" x14ac:dyDescent="0.25">
      <c r="A53" s="23" t="s">
        <v>57</v>
      </c>
      <c r="B53" s="44" t="s">
        <v>134</v>
      </c>
      <c r="C53" s="44" t="s">
        <v>12</v>
      </c>
      <c r="D53" s="22" t="s">
        <v>133</v>
      </c>
      <c r="E53" s="23" t="s">
        <v>19</v>
      </c>
      <c r="F53" s="24">
        <f>MEMÓRIA!D41</f>
        <v>1</v>
      </c>
      <c r="G53" s="25">
        <v>207.23</v>
      </c>
      <c r="H53" s="72">
        <f t="shared" si="11"/>
        <v>253.79458099999997</v>
      </c>
      <c r="I53" s="54">
        <f t="shared" si="12"/>
        <v>253.79458099999997</v>
      </c>
    </row>
    <row r="54" spans="1:9" ht="30" x14ac:dyDescent="0.25">
      <c r="A54" s="51" t="s">
        <v>58</v>
      </c>
      <c r="B54" s="49" t="s">
        <v>137</v>
      </c>
      <c r="C54" s="44" t="s">
        <v>12</v>
      </c>
      <c r="D54" s="40" t="s">
        <v>136</v>
      </c>
      <c r="E54" s="51" t="s">
        <v>30</v>
      </c>
      <c r="F54" s="52">
        <f>MEMÓRIA!D42</f>
        <v>1.08</v>
      </c>
      <c r="G54" s="53">
        <v>940.03</v>
      </c>
      <c r="H54" s="72">
        <f t="shared" si="11"/>
        <v>1151.254741</v>
      </c>
      <c r="I54" s="144">
        <f t="shared" si="12"/>
        <v>1243.3551202799999</v>
      </c>
    </row>
    <row r="55" spans="1:9" ht="30" x14ac:dyDescent="0.25">
      <c r="A55" s="23" t="s">
        <v>61</v>
      </c>
      <c r="B55" s="44" t="s">
        <v>192</v>
      </c>
      <c r="C55" s="44" t="s">
        <v>12</v>
      </c>
      <c r="D55" s="22" t="s">
        <v>191</v>
      </c>
      <c r="E55" s="23" t="s">
        <v>14</v>
      </c>
      <c r="F55" s="24">
        <f>MEMÓRIA!D43</f>
        <v>12</v>
      </c>
      <c r="G55" s="25">
        <v>32.21</v>
      </c>
      <c r="H55" s="72">
        <f t="shared" si="11"/>
        <v>39.447586999999999</v>
      </c>
      <c r="I55" s="54">
        <f>H55*F55</f>
        <v>473.37104399999998</v>
      </c>
    </row>
    <row r="56" spans="1:9" ht="33.75" customHeight="1" x14ac:dyDescent="0.25">
      <c r="A56" s="23" t="s">
        <v>195</v>
      </c>
      <c r="B56" s="44" t="s">
        <v>194</v>
      </c>
      <c r="C56" s="44" t="s">
        <v>12</v>
      </c>
      <c r="D56" s="22" t="s">
        <v>193</v>
      </c>
      <c r="E56" s="23" t="s">
        <v>14</v>
      </c>
      <c r="F56" s="24">
        <f>MEMÓRIA!D44</f>
        <v>12</v>
      </c>
      <c r="G56" s="25">
        <v>46.73</v>
      </c>
      <c r="H56" s="72">
        <f t="shared" si="11"/>
        <v>57.230230999999989</v>
      </c>
      <c r="I56" s="54">
        <f>H56*F56</f>
        <v>686.76277199999981</v>
      </c>
    </row>
    <row r="57" spans="1:9" ht="33.75" customHeight="1" x14ac:dyDescent="0.25">
      <c r="A57" s="23" t="s">
        <v>213</v>
      </c>
      <c r="B57" s="44" t="s">
        <v>224</v>
      </c>
      <c r="C57" s="44" t="s">
        <v>12</v>
      </c>
      <c r="D57" s="22" t="s">
        <v>138</v>
      </c>
      <c r="E57" s="23" t="s">
        <v>30</v>
      </c>
      <c r="F57" s="24">
        <f>MEMÓRIA!D45</f>
        <v>1.62</v>
      </c>
      <c r="G57" s="25">
        <v>2322.2600000000002</v>
      </c>
      <c r="H57" s="72">
        <f t="shared" si="11"/>
        <v>2844.0718219999999</v>
      </c>
      <c r="I57" s="54">
        <f>H57*F57</f>
        <v>4607.3963516399999</v>
      </c>
    </row>
    <row r="58" spans="1:9" ht="16.5" customHeight="1" x14ac:dyDescent="0.25">
      <c r="A58" s="23" t="s">
        <v>214</v>
      </c>
      <c r="B58" s="44" t="s">
        <v>210</v>
      </c>
      <c r="C58" s="44" t="s">
        <v>12</v>
      </c>
      <c r="D58" s="22" t="s">
        <v>209</v>
      </c>
      <c r="E58" s="23" t="s">
        <v>19</v>
      </c>
      <c r="F58" s="24">
        <f>MEMÓRIA!D46</f>
        <v>1</v>
      </c>
      <c r="G58" s="25">
        <v>469.31</v>
      </c>
      <c r="H58" s="72">
        <f t="shared" si="11"/>
        <v>574.763957</v>
      </c>
      <c r="I58" s="54">
        <f t="shared" ref="I58:I61" si="13">H58*F58</f>
        <v>574.763957</v>
      </c>
    </row>
    <row r="59" spans="1:9" ht="30" customHeight="1" x14ac:dyDescent="0.25">
      <c r="A59" s="23" t="s">
        <v>223</v>
      </c>
      <c r="B59" s="44" t="s">
        <v>212</v>
      </c>
      <c r="C59" s="44" t="s">
        <v>12</v>
      </c>
      <c r="D59" s="22" t="s">
        <v>211</v>
      </c>
      <c r="E59" s="23" t="s">
        <v>19</v>
      </c>
      <c r="F59" s="24">
        <f>MEMÓRIA!D47</f>
        <v>1</v>
      </c>
      <c r="G59" s="25">
        <v>817.87</v>
      </c>
      <c r="H59" s="72">
        <f t="shared" si="11"/>
        <v>1001.6453889999999</v>
      </c>
      <c r="I59" s="54">
        <f t="shared" si="13"/>
        <v>1001.6453889999999</v>
      </c>
    </row>
    <row r="60" spans="1:9" ht="27" customHeight="1" x14ac:dyDescent="0.25">
      <c r="A60" s="23" t="s">
        <v>225</v>
      </c>
      <c r="B60" s="44" t="s">
        <v>216</v>
      </c>
      <c r="C60" s="44" t="s">
        <v>12</v>
      </c>
      <c r="D60" s="22" t="s">
        <v>215</v>
      </c>
      <c r="E60" s="23" t="s">
        <v>19</v>
      </c>
      <c r="F60" s="24">
        <f>MEMÓRIA!D48</f>
        <v>1</v>
      </c>
      <c r="G60" s="25">
        <v>151.96</v>
      </c>
      <c r="H60" s="72">
        <f t="shared" si="11"/>
        <v>186.105412</v>
      </c>
      <c r="I60" s="54">
        <f t="shared" si="13"/>
        <v>186.105412</v>
      </c>
    </row>
    <row r="61" spans="1:9" ht="16.5" customHeight="1" x14ac:dyDescent="0.25">
      <c r="A61" s="23" t="s">
        <v>226</v>
      </c>
      <c r="B61" s="44" t="s">
        <v>218</v>
      </c>
      <c r="C61" s="44" t="s">
        <v>219</v>
      </c>
      <c r="D61" s="22" t="s">
        <v>217</v>
      </c>
      <c r="E61" s="23" t="s">
        <v>19</v>
      </c>
      <c r="F61" s="24">
        <f>MEMÓRIA!D49</f>
        <v>2</v>
      </c>
      <c r="G61" s="25">
        <f>790.02*(1-0.195)</f>
        <v>635.96609999999998</v>
      </c>
      <c r="H61" s="72">
        <f t="shared" si="11"/>
        <v>778.86768266999991</v>
      </c>
      <c r="I61" s="54">
        <f t="shared" si="13"/>
        <v>1557.7353653399998</v>
      </c>
    </row>
    <row r="62" spans="1:9" x14ac:dyDescent="0.25">
      <c r="A62" s="96" t="s">
        <v>62</v>
      </c>
      <c r="B62" s="46"/>
      <c r="C62" s="46"/>
      <c r="D62" s="29" t="s">
        <v>72</v>
      </c>
      <c r="E62" s="30"/>
      <c r="F62" s="31"/>
      <c r="G62" s="32"/>
      <c r="H62" s="33"/>
      <c r="I62" s="145">
        <f>SUM(I63:I73)</f>
        <v>17970.182310999997</v>
      </c>
    </row>
    <row r="63" spans="1:9" ht="38.25" x14ac:dyDescent="0.25">
      <c r="A63" s="23" t="s">
        <v>63</v>
      </c>
      <c r="B63" s="23" t="s">
        <v>75</v>
      </c>
      <c r="C63" s="23" t="s">
        <v>77</v>
      </c>
      <c r="D63" s="20" t="s">
        <v>73</v>
      </c>
      <c r="E63" s="23" t="s">
        <v>19</v>
      </c>
      <c r="F63" s="129">
        <v>10</v>
      </c>
      <c r="G63" s="25">
        <v>289.57</v>
      </c>
      <c r="H63" s="72">
        <f t="shared" ref="H63:H73" si="14">G63*(1+$H$10)</f>
        <v>354.63637899999998</v>
      </c>
      <c r="I63" s="54">
        <f>H63*F63</f>
        <v>3546.3637899999999</v>
      </c>
    </row>
    <row r="64" spans="1:9" ht="30" x14ac:dyDescent="0.25">
      <c r="A64" s="23" t="s">
        <v>64</v>
      </c>
      <c r="B64" s="44" t="s">
        <v>170</v>
      </c>
      <c r="C64" s="23" t="s">
        <v>12</v>
      </c>
      <c r="D64" s="22" t="s">
        <v>169</v>
      </c>
      <c r="E64" s="23" t="s">
        <v>19</v>
      </c>
      <c r="F64" s="129">
        <f>MEMÓRIA!D52</f>
        <v>20</v>
      </c>
      <c r="G64" s="25">
        <v>26.45</v>
      </c>
      <c r="H64" s="72">
        <f t="shared" si="14"/>
        <v>32.393314999999994</v>
      </c>
      <c r="I64" s="54">
        <f>H64*F64</f>
        <v>647.86629999999991</v>
      </c>
    </row>
    <row r="65" spans="1:9" x14ac:dyDescent="0.25">
      <c r="A65" s="39" t="s">
        <v>65</v>
      </c>
      <c r="B65" s="23" t="s">
        <v>76</v>
      </c>
      <c r="C65" s="23" t="s">
        <v>12</v>
      </c>
      <c r="D65" s="20" t="s">
        <v>74</v>
      </c>
      <c r="E65" s="23" t="s">
        <v>81</v>
      </c>
      <c r="F65" s="129">
        <v>10</v>
      </c>
      <c r="G65" s="25">
        <v>27.93</v>
      </c>
      <c r="H65" s="72">
        <f t="shared" si="14"/>
        <v>34.205870999999995</v>
      </c>
      <c r="I65" s="54">
        <f t="shared" ref="I65:I72" si="15">H65*F65</f>
        <v>342.05870999999996</v>
      </c>
    </row>
    <row r="66" spans="1:9" x14ac:dyDescent="0.25">
      <c r="A66" s="39" t="s">
        <v>66</v>
      </c>
      <c r="B66" s="44" t="s">
        <v>173</v>
      </c>
      <c r="C66" s="23" t="s">
        <v>12</v>
      </c>
      <c r="D66" s="21" t="s">
        <v>172</v>
      </c>
      <c r="E66" s="23" t="s">
        <v>81</v>
      </c>
      <c r="F66" s="62">
        <v>23</v>
      </c>
      <c r="G66" s="26">
        <v>27.53</v>
      </c>
      <c r="H66" s="72">
        <f t="shared" si="14"/>
        <v>33.715990999999995</v>
      </c>
      <c r="I66" s="54">
        <f t="shared" si="15"/>
        <v>775.46779299999992</v>
      </c>
    </row>
    <row r="67" spans="1:9" ht="30" x14ac:dyDescent="0.25">
      <c r="A67" s="39" t="s">
        <v>67</v>
      </c>
      <c r="B67" s="44" t="s">
        <v>174</v>
      </c>
      <c r="C67" s="23" t="s">
        <v>12</v>
      </c>
      <c r="D67" s="22" t="s">
        <v>175</v>
      </c>
      <c r="E67" s="23" t="s">
        <v>14</v>
      </c>
      <c r="F67" s="62">
        <v>70</v>
      </c>
      <c r="G67" s="26">
        <v>45.49</v>
      </c>
      <c r="H67" s="72">
        <f t="shared" si="14"/>
        <v>55.711602999999997</v>
      </c>
      <c r="I67" s="54">
        <f t="shared" si="15"/>
        <v>3899.8122099999996</v>
      </c>
    </row>
    <row r="68" spans="1:9" ht="30" x14ac:dyDescent="0.25">
      <c r="A68" s="39" t="s">
        <v>68</v>
      </c>
      <c r="B68" s="44" t="s">
        <v>174</v>
      </c>
      <c r="C68" s="23" t="s">
        <v>12</v>
      </c>
      <c r="D68" s="22" t="s">
        <v>176</v>
      </c>
      <c r="E68" s="23" t="s">
        <v>14</v>
      </c>
      <c r="F68" s="62">
        <v>70</v>
      </c>
      <c r="G68" s="26">
        <v>45.49</v>
      </c>
      <c r="H68" s="72">
        <f t="shared" si="14"/>
        <v>55.711602999999997</v>
      </c>
      <c r="I68" s="54">
        <f t="shared" si="15"/>
        <v>3899.8122099999996</v>
      </c>
    </row>
    <row r="69" spans="1:9" ht="30" x14ac:dyDescent="0.25">
      <c r="A69" s="39" t="s">
        <v>171</v>
      </c>
      <c r="B69" s="44" t="s">
        <v>178</v>
      </c>
      <c r="C69" s="23" t="s">
        <v>12</v>
      </c>
      <c r="D69" s="22" t="s">
        <v>177</v>
      </c>
      <c r="E69" s="23" t="s">
        <v>14</v>
      </c>
      <c r="F69" s="62">
        <v>50</v>
      </c>
      <c r="G69" s="26">
        <v>3.66</v>
      </c>
      <c r="H69" s="72">
        <f t="shared" si="14"/>
        <v>4.4824019999999996</v>
      </c>
      <c r="I69" s="54">
        <f>H69*F69</f>
        <v>224.12009999999998</v>
      </c>
    </row>
    <row r="70" spans="1:9" ht="30" x14ac:dyDescent="0.25">
      <c r="A70" s="39" t="s">
        <v>187</v>
      </c>
      <c r="B70" s="44" t="s">
        <v>180</v>
      </c>
      <c r="C70" s="23" t="s">
        <v>12</v>
      </c>
      <c r="D70" s="22" t="s">
        <v>179</v>
      </c>
      <c r="E70" s="23" t="s">
        <v>14</v>
      </c>
      <c r="F70" s="62">
        <v>200</v>
      </c>
      <c r="G70" s="26">
        <v>4.53</v>
      </c>
      <c r="H70" s="72">
        <f t="shared" si="14"/>
        <v>5.5478909999999999</v>
      </c>
      <c r="I70" s="54">
        <f>H70*F70</f>
        <v>1109.5781999999999</v>
      </c>
    </row>
    <row r="71" spans="1:9" ht="30" x14ac:dyDescent="0.25">
      <c r="A71" s="39" t="s">
        <v>188</v>
      </c>
      <c r="B71" s="44" t="s">
        <v>182</v>
      </c>
      <c r="C71" s="23" t="s">
        <v>12</v>
      </c>
      <c r="D71" s="22" t="s">
        <v>181</v>
      </c>
      <c r="E71" s="23" t="s">
        <v>14</v>
      </c>
      <c r="F71" s="62">
        <v>50</v>
      </c>
      <c r="G71" s="26">
        <v>13.81</v>
      </c>
      <c r="H71" s="72">
        <f t="shared" si="14"/>
        <v>16.913107</v>
      </c>
      <c r="I71" s="54">
        <f>H71*F71</f>
        <v>845.65535</v>
      </c>
    </row>
    <row r="72" spans="1:9" x14ac:dyDescent="0.25">
      <c r="A72" s="39" t="s">
        <v>189</v>
      </c>
      <c r="B72" s="44" t="s">
        <v>184</v>
      </c>
      <c r="C72" s="23" t="s">
        <v>12</v>
      </c>
      <c r="D72" s="21" t="s">
        <v>183</v>
      </c>
      <c r="E72" s="23" t="s">
        <v>14</v>
      </c>
      <c r="F72" s="62">
        <v>100</v>
      </c>
      <c r="G72" s="26">
        <v>10.36</v>
      </c>
      <c r="H72" s="72">
        <f t="shared" si="14"/>
        <v>12.687891999999998</v>
      </c>
      <c r="I72" s="54">
        <f t="shared" si="15"/>
        <v>1268.7891999999997</v>
      </c>
    </row>
    <row r="73" spans="1:9" x14ac:dyDescent="0.25">
      <c r="A73" s="39" t="s">
        <v>190</v>
      </c>
      <c r="B73" s="44" t="s">
        <v>186</v>
      </c>
      <c r="C73" s="23" t="s">
        <v>12</v>
      </c>
      <c r="D73" s="21" t="s">
        <v>185</v>
      </c>
      <c r="E73" s="23" t="s">
        <v>19</v>
      </c>
      <c r="F73" s="62">
        <v>16</v>
      </c>
      <c r="G73" s="26">
        <v>71.989999999999995</v>
      </c>
      <c r="H73" s="72">
        <f t="shared" si="14"/>
        <v>88.16615299999998</v>
      </c>
      <c r="I73" s="54">
        <f>H73*F73</f>
        <v>1410.6584479999997</v>
      </c>
    </row>
    <row r="74" spans="1:9" x14ac:dyDescent="0.25">
      <c r="A74" s="96" t="s">
        <v>69</v>
      </c>
      <c r="B74" s="46"/>
      <c r="C74" s="46"/>
      <c r="D74" s="29" t="s">
        <v>85</v>
      </c>
      <c r="E74" s="30"/>
      <c r="F74" s="31"/>
      <c r="G74" s="32"/>
      <c r="H74" s="33"/>
      <c r="I74" s="145">
        <f>SUM(I75:I80)</f>
        <v>22737.084570399998</v>
      </c>
    </row>
    <row r="75" spans="1:9" ht="25.5" x14ac:dyDescent="0.25">
      <c r="A75" s="23" t="s">
        <v>70</v>
      </c>
      <c r="B75" s="23" t="s">
        <v>222</v>
      </c>
      <c r="C75" s="23" t="s">
        <v>77</v>
      </c>
      <c r="D75" s="55" t="s">
        <v>82</v>
      </c>
      <c r="E75" s="44" t="s">
        <v>30</v>
      </c>
      <c r="F75" s="44">
        <f>MEMÓRIA!D63</f>
        <v>89.75</v>
      </c>
      <c r="G75" s="26">
        <v>9.74</v>
      </c>
      <c r="H75" s="72">
        <f t="shared" ref="H75:H80" si="16">G75*(1+$H$10)</f>
        <v>11.928578</v>
      </c>
      <c r="I75" s="26">
        <f>H75*F75</f>
        <v>1070.5898755000001</v>
      </c>
    </row>
    <row r="76" spans="1:9" ht="25.5" x14ac:dyDescent="0.25">
      <c r="A76" s="23" t="s">
        <v>157</v>
      </c>
      <c r="B76" s="39" t="s">
        <v>86</v>
      </c>
      <c r="C76" s="23" t="s">
        <v>12</v>
      </c>
      <c r="D76" s="55" t="s">
        <v>84</v>
      </c>
      <c r="E76" s="44" t="s">
        <v>14</v>
      </c>
      <c r="F76" s="44">
        <f>MEMÓRIA!D64</f>
        <v>18.55</v>
      </c>
      <c r="G76" s="26">
        <v>32.58</v>
      </c>
      <c r="H76" s="72">
        <f t="shared" si="16"/>
        <v>39.900725999999992</v>
      </c>
      <c r="I76" s="26">
        <f>H76*F76</f>
        <v>740.15846729999987</v>
      </c>
    </row>
    <row r="77" spans="1:9" x14ac:dyDescent="0.25">
      <c r="A77" s="23" t="s">
        <v>158</v>
      </c>
      <c r="B77" s="18" t="s">
        <v>88</v>
      </c>
      <c r="C77" s="23" t="s">
        <v>12</v>
      </c>
      <c r="D77" s="16" t="s">
        <v>148</v>
      </c>
      <c r="E77" s="44" t="s">
        <v>14</v>
      </c>
      <c r="F77" s="44">
        <f>MEMÓRIA!D65</f>
        <v>30.2</v>
      </c>
      <c r="G77" s="26">
        <v>113.42</v>
      </c>
      <c r="H77" s="72">
        <f t="shared" si="16"/>
        <v>138.905474</v>
      </c>
      <c r="I77" s="26">
        <f>H77*F77</f>
        <v>4194.9453148000002</v>
      </c>
    </row>
    <row r="78" spans="1:9" x14ac:dyDescent="0.25">
      <c r="A78" s="23" t="s">
        <v>159</v>
      </c>
      <c r="B78" s="18" t="s">
        <v>153</v>
      </c>
      <c r="C78" s="23" t="s">
        <v>12</v>
      </c>
      <c r="D78" s="16" t="s">
        <v>152</v>
      </c>
      <c r="E78" s="44" t="s">
        <v>30</v>
      </c>
      <c r="F78" s="44">
        <f>MEMÓRIA!D66</f>
        <v>13.4</v>
      </c>
      <c r="G78" s="26">
        <v>149.13</v>
      </c>
      <c r="H78" s="72">
        <f t="shared" si="16"/>
        <v>182.63951099999997</v>
      </c>
      <c r="I78" s="26">
        <f t="shared" ref="I78:I80" si="17">H78*F78</f>
        <v>2447.3694473999994</v>
      </c>
    </row>
    <row r="79" spans="1:9" x14ac:dyDescent="0.25">
      <c r="A79" s="23" t="s">
        <v>160</v>
      </c>
      <c r="B79" s="18" t="s">
        <v>154</v>
      </c>
      <c r="C79" s="23" t="s">
        <v>12</v>
      </c>
      <c r="D79" s="16" t="s">
        <v>83</v>
      </c>
      <c r="E79" s="44" t="s">
        <v>30</v>
      </c>
      <c r="F79" s="44">
        <f>MEMÓRIA!D67</f>
        <v>18.399999999999999</v>
      </c>
      <c r="G79" s="26">
        <v>71.12</v>
      </c>
      <c r="H79" s="72">
        <f t="shared" si="16"/>
        <v>87.100663999999995</v>
      </c>
      <c r="I79" s="26">
        <f t="shared" si="17"/>
        <v>1602.6522175999999</v>
      </c>
    </row>
    <row r="80" spans="1:9" x14ac:dyDescent="0.25">
      <c r="A80" s="23" t="s">
        <v>293</v>
      </c>
      <c r="B80" s="18" t="s">
        <v>199</v>
      </c>
      <c r="C80" s="44" t="s">
        <v>12</v>
      </c>
      <c r="D80" s="16" t="s">
        <v>198</v>
      </c>
      <c r="E80" s="23" t="s">
        <v>30</v>
      </c>
      <c r="F80" s="24">
        <f>MEMÓRIA!D68</f>
        <v>90.6</v>
      </c>
      <c r="G80" s="25">
        <v>114.29</v>
      </c>
      <c r="H80" s="72">
        <f t="shared" si="16"/>
        <v>139.97096299999998</v>
      </c>
      <c r="I80" s="54">
        <f t="shared" si="17"/>
        <v>12681.369247799998</v>
      </c>
    </row>
    <row r="81" spans="1:9" x14ac:dyDescent="0.25">
      <c r="A81" s="96" t="s">
        <v>71</v>
      </c>
      <c r="B81" s="46"/>
      <c r="C81" s="46"/>
      <c r="D81" s="29" t="s">
        <v>89</v>
      </c>
      <c r="E81" s="30"/>
      <c r="F81" s="31"/>
      <c r="G81" s="32"/>
      <c r="H81" s="33"/>
      <c r="I81" s="145">
        <f>SUM(I82:I84)</f>
        <v>15342.57719376</v>
      </c>
    </row>
    <row r="82" spans="1:9" x14ac:dyDescent="0.25">
      <c r="A82" s="86" t="s">
        <v>78</v>
      </c>
      <c r="B82" s="18" t="s">
        <v>91</v>
      </c>
      <c r="C82" s="44" t="s">
        <v>12</v>
      </c>
      <c r="D82" s="16" t="s">
        <v>161</v>
      </c>
      <c r="E82" s="44" t="s">
        <v>30</v>
      </c>
      <c r="F82" s="62">
        <f>MEMÓRIA!D70</f>
        <v>351.22</v>
      </c>
      <c r="G82" s="26">
        <v>32.28</v>
      </c>
      <c r="H82" s="72">
        <f t="shared" ref="H82:H91" si="18">G82*(1+$H$10)</f>
        <v>39.533315999999999</v>
      </c>
      <c r="I82" s="26">
        <f>H82*F82</f>
        <v>13884.891245520001</v>
      </c>
    </row>
    <row r="83" spans="1:9" x14ac:dyDescent="0.25">
      <c r="A83" s="86" t="s">
        <v>79</v>
      </c>
      <c r="B83" s="18" t="s">
        <v>163</v>
      </c>
      <c r="C83" s="44" t="s">
        <v>12</v>
      </c>
      <c r="D83" s="16" t="s">
        <v>162</v>
      </c>
      <c r="E83" s="44" t="s">
        <v>30</v>
      </c>
      <c r="F83" s="62">
        <f>MEMÓRIA!D71</f>
        <v>18.060000000000002</v>
      </c>
      <c r="G83" s="26">
        <v>30.12</v>
      </c>
      <c r="H83" s="72">
        <f t="shared" si="18"/>
        <v>36.887963999999997</v>
      </c>
      <c r="I83" s="26">
        <f>H83*F83</f>
        <v>666.19662984000001</v>
      </c>
    </row>
    <row r="84" spans="1:9" x14ac:dyDescent="0.25">
      <c r="A84" s="44" t="s">
        <v>80</v>
      </c>
      <c r="B84" s="18" t="s">
        <v>92</v>
      </c>
      <c r="C84" s="44" t="s">
        <v>12</v>
      </c>
      <c r="D84" t="s">
        <v>90</v>
      </c>
      <c r="E84" s="44" t="s">
        <v>30</v>
      </c>
      <c r="F84" s="62">
        <f>MEMÓRIA!D72</f>
        <v>13.2</v>
      </c>
      <c r="G84" s="26">
        <v>48.96</v>
      </c>
      <c r="H84" s="72">
        <f t="shared" si="18"/>
        <v>59.961312</v>
      </c>
      <c r="I84" s="26">
        <f>H84*F84</f>
        <v>791.4893184</v>
      </c>
    </row>
    <row r="85" spans="1:9" x14ac:dyDescent="0.25">
      <c r="A85" s="96" t="s">
        <v>230</v>
      </c>
      <c r="B85" s="46"/>
      <c r="C85" s="46"/>
      <c r="D85" s="29" t="s">
        <v>231</v>
      </c>
      <c r="E85" s="30"/>
      <c r="F85" s="31"/>
      <c r="G85" s="32"/>
      <c r="H85" s="33"/>
      <c r="I85" s="145">
        <f>SUM(I86:I91)</f>
        <v>3518.3049332400001</v>
      </c>
    </row>
    <row r="86" spans="1:9" x14ac:dyDescent="0.25">
      <c r="A86" s="44" t="s">
        <v>232</v>
      </c>
      <c r="B86" s="18" t="s">
        <v>238</v>
      </c>
      <c r="C86" s="44" t="s">
        <v>12</v>
      </c>
      <c r="D86" s="16" t="s">
        <v>237</v>
      </c>
      <c r="E86" s="44" t="s">
        <v>30</v>
      </c>
      <c r="F86" s="62">
        <f>MEMÓRIA!D74</f>
        <v>9.9</v>
      </c>
      <c r="G86" s="26">
        <v>99.41</v>
      </c>
      <c r="H86" s="72">
        <f t="shared" si="18"/>
        <v>121.74742699999999</v>
      </c>
      <c r="I86" s="26">
        <f t="shared" ref="I86:I91" si="19">H86*F86</f>
        <v>1205.2995272999999</v>
      </c>
    </row>
    <row r="87" spans="1:9" x14ac:dyDescent="0.25">
      <c r="A87" s="44" t="s">
        <v>233</v>
      </c>
      <c r="B87" s="18" t="s">
        <v>240</v>
      </c>
      <c r="C87" s="44" t="s">
        <v>12</v>
      </c>
      <c r="D87" s="16" t="s">
        <v>239</v>
      </c>
      <c r="E87" s="44" t="s">
        <v>32</v>
      </c>
      <c r="F87" s="62">
        <f>MEMÓRIA!D75</f>
        <v>0.495</v>
      </c>
      <c r="G87" s="26">
        <v>1851.16</v>
      </c>
      <c r="H87" s="72">
        <f t="shared" si="18"/>
        <v>2267.115652</v>
      </c>
      <c r="I87" s="26">
        <f t="shared" si="19"/>
        <v>1122.2222477400001</v>
      </c>
    </row>
    <row r="88" spans="1:9" x14ac:dyDescent="0.25">
      <c r="A88" s="44" t="s">
        <v>234</v>
      </c>
      <c r="B88" s="18" t="s">
        <v>242</v>
      </c>
      <c r="C88" s="44" t="s">
        <v>12</v>
      </c>
      <c r="D88" s="16" t="s">
        <v>241</v>
      </c>
      <c r="E88" s="44" t="s">
        <v>30</v>
      </c>
      <c r="F88" s="62">
        <f>MEMÓRIA!D76</f>
        <v>3.15</v>
      </c>
      <c r="G88" s="26">
        <v>168.12</v>
      </c>
      <c r="H88" s="72">
        <f t="shared" si="18"/>
        <v>205.89656399999998</v>
      </c>
      <c r="I88" s="26">
        <f t="shared" si="19"/>
        <v>648.57417659999999</v>
      </c>
    </row>
    <row r="89" spans="1:9" x14ac:dyDescent="0.25">
      <c r="A89" s="44" t="s">
        <v>235</v>
      </c>
      <c r="B89" s="44" t="s">
        <v>41</v>
      </c>
      <c r="C89" s="44" t="s">
        <v>12</v>
      </c>
      <c r="D89" s="21" t="s">
        <v>39</v>
      </c>
      <c r="E89" s="23" t="s">
        <v>30</v>
      </c>
      <c r="F89" s="129">
        <f>MEMÓRIA!D77</f>
        <v>9.9</v>
      </c>
      <c r="G89" s="25">
        <v>7.33</v>
      </c>
      <c r="H89" s="72">
        <f t="shared" si="18"/>
        <v>8.9770509999999994</v>
      </c>
      <c r="I89" s="54">
        <f t="shared" si="19"/>
        <v>88.872804899999991</v>
      </c>
    </row>
    <row r="90" spans="1:9" x14ac:dyDescent="0.25">
      <c r="A90" s="44" t="s">
        <v>236</v>
      </c>
      <c r="B90" s="44" t="s">
        <v>38</v>
      </c>
      <c r="C90" s="44" t="s">
        <v>12</v>
      </c>
      <c r="D90" s="21" t="s">
        <v>37</v>
      </c>
      <c r="E90" s="23" t="s">
        <v>30</v>
      </c>
      <c r="F90" s="129">
        <f>MEMÓRIA!D78</f>
        <v>9.9</v>
      </c>
      <c r="G90" s="25">
        <v>23.57</v>
      </c>
      <c r="H90" s="72">
        <f t="shared" si="18"/>
        <v>28.866178999999999</v>
      </c>
      <c r="I90" s="54">
        <f t="shared" si="19"/>
        <v>285.77517210000002</v>
      </c>
    </row>
    <row r="91" spans="1:9" x14ac:dyDescent="0.25">
      <c r="A91" s="44" t="s">
        <v>243</v>
      </c>
      <c r="B91" s="44" t="s">
        <v>42</v>
      </c>
      <c r="C91" s="44" t="s">
        <v>12</v>
      </c>
      <c r="D91" s="21" t="s">
        <v>40</v>
      </c>
      <c r="E91" s="23" t="s">
        <v>30</v>
      </c>
      <c r="F91" s="129">
        <f>MEMÓRIA!D79</f>
        <v>9.9</v>
      </c>
      <c r="G91" s="25">
        <v>13.82</v>
      </c>
      <c r="H91" s="72">
        <f t="shared" si="18"/>
        <v>16.925353999999999</v>
      </c>
      <c r="I91" s="54">
        <f t="shared" si="19"/>
        <v>167.56100459999999</v>
      </c>
    </row>
    <row r="92" spans="1:9" x14ac:dyDescent="0.25">
      <c r="A92" s="96" t="s">
        <v>257</v>
      </c>
      <c r="B92" s="46"/>
      <c r="C92" s="46"/>
      <c r="D92" s="29" t="s">
        <v>258</v>
      </c>
      <c r="E92" s="30"/>
      <c r="F92" s="31"/>
      <c r="G92" s="32"/>
      <c r="H92" s="33"/>
      <c r="I92" s="145">
        <f>SUM(I93:I95)</f>
        <v>11029.337738549999</v>
      </c>
    </row>
    <row r="93" spans="1:9" x14ac:dyDescent="0.25">
      <c r="A93" s="44" t="s">
        <v>265</v>
      </c>
      <c r="B93" s="44" t="s">
        <v>260</v>
      </c>
      <c r="C93" s="44" t="s">
        <v>12</v>
      </c>
      <c r="D93" s="21" t="s">
        <v>259</v>
      </c>
      <c r="E93" s="23" t="s">
        <v>30</v>
      </c>
      <c r="F93" s="129">
        <f>MEMÓRIA!D81</f>
        <v>2.25</v>
      </c>
      <c r="G93" s="25">
        <v>97.09</v>
      </c>
      <c r="H93" s="72">
        <f t="shared" ref="H93:H95" si="20">G93*(1+$H$10)</f>
        <v>118.90612299999999</v>
      </c>
      <c r="I93" s="54">
        <f t="shared" ref="I93:I95" si="21">H93*F93</f>
        <v>267.53877675000001</v>
      </c>
    </row>
    <row r="94" spans="1:9" x14ac:dyDescent="0.25">
      <c r="A94" s="44" t="s">
        <v>266</v>
      </c>
      <c r="B94" s="44" t="s">
        <v>262</v>
      </c>
      <c r="C94" s="44" t="s">
        <v>12</v>
      </c>
      <c r="D94" s="21" t="s">
        <v>261</v>
      </c>
      <c r="E94" s="23" t="s">
        <v>30</v>
      </c>
      <c r="F94" s="129">
        <f>MEMÓRIA!D82</f>
        <v>90.6</v>
      </c>
      <c r="G94" s="25">
        <v>46.62</v>
      </c>
      <c r="H94" s="72">
        <f t="shared" si="20"/>
        <v>57.095513999999994</v>
      </c>
      <c r="I94" s="54">
        <f t="shared" si="21"/>
        <v>5172.8535683999989</v>
      </c>
    </row>
    <row r="95" spans="1:9" x14ac:dyDescent="0.25">
      <c r="A95" s="44" t="s">
        <v>267</v>
      </c>
      <c r="B95" s="44" t="s">
        <v>264</v>
      </c>
      <c r="C95" s="44" t="s">
        <v>12</v>
      </c>
      <c r="D95" s="21" t="s">
        <v>263</v>
      </c>
      <c r="E95" s="23" t="s">
        <v>30</v>
      </c>
      <c r="F95" s="129">
        <f>MEMÓRIA!D83</f>
        <v>90.6</v>
      </c>
      <c r="G95" s="25">
        <v>50.37</v>
      </c>
      <c r="H95" s="72">
        <f t="shared" si="20"/>
        <v>61.688138999999993</v>
      </c>
      <c r="I95" s="54">
        <f t="shared" si="21"/>
        <v>5588.9453933999994</v>
      </c>
    </row>
    <row r="96" spans="1:9" x14ac:dyDescent="0.25">
      <c r="A96" s="96" t="s">
        <v>301</v>
      </c>
      <c r="B96" s="46"/>
      <c r="C96" s="46"/>
      <c r="D96" s="29" t="s">
        <v>317</v>
      </c>
      <c r="E96" s="30"/>
      <c r="F96" s="31"/>
      <c r="G96" s="32"/>
      <c r="H96" s="33"/>
      <c r="I96" s="145">
        <f>SUM(I97:I101)</f>
        <v>5996.2683663999996</v>
      </c>
    </row>
    <row r="97" spans="1:11" x14ac:dyDescent="0.25">
      <c r="A97" s="44" t="s">
        <v>302</v>
      </c>
      <c r="B97" s="44" t="s">
        <v>305</v>
      </c>
      <c r="C97" s="44" t="s">
        <v>219</v>
      </c>
      <c r="D97" s="21" t="s">
        <v>306</v>
      </c>
      <c r="E97" s="23" t="s">
        <v>14</v>
      </c>
      <c r="F97" s="129">
        <f>MEMÓRIA!D85</f>
        <v>20</v>
      </c>
      <c r="G97" s="129">
        <f>14.48*(1-0.195)</f>
        <v>11.6564</v>
      </c>
      <c r="H97" s="72">
        <f t="shared" ref="H97:H101" si="22">G97*(1+$H$10)</f>
        <v>14.275593079999998</v>
      </c>
      <c r="I97" s="54">
        <f t="shared" ref="I97:I101" si="23">H97*F97</f>
        <v>285.51186159999997</v>
      </c>
    </row>
    <row r="98" spans="1:11" ht="30" x14ac:dyDescent="0.25">
      <c r="A98" s="44" t="s">
        <v>303</v>
      </c>
      <c r="B98" s="44" t="s">
        <v>323</v>
      </c>
      <c r="C98" s="44" t="s">
        <v>12</v>
      </c>
      <c r="D98" s="22" t="s">
        <v>322</v>
      </c>
      <c r="E98" s="23" t="s">
        <v>32</v>
      </c>
      <c r="F98" s="129">
        <f>MEMÓRIA!D86</f>
        <v>1</v>
      </c>
      <c r="G98" s="129">
        <v>64.290000000000006</v>
      </c>
      <c r="H98" s="72">
        <f t="shared" ref="H98" si="24">G98*(1+$H$10)</f>
        <v>78.735962999999998</v>
      </c>
      <c r="I98" s="54">
        <f t="shared" ref="I98" si="25">H98*F98</f>
        <v>78.735962999999998</v>
      </c>
    </row>
    <row r="99" spans="1:11" x14ac:dyDescent="0.25">
      <c r="A99" s="44" t="s">
        <v>304</v>
      </c>
      <c r="B99" s="44" t="s">
        <v>311</v>
      </c>
      <c r="C99" s="44" t="s">
        <v>12</v>
      </c>
      <c r="D99" s="21" t="s">
        <v>310</v>
      </c>
      <c r="E99" s="23" t="s">
        <v>314</v>
      </c>
      <c r="F99" s="129">
        <f>MEMÓRIA!D87</f>
        <v>148</v>
      </c>
      <c r="G99" s="129">
        <v>10.49</v>
      </c>
      <c r="H99" s="72">
        <f t="shared" ref="H99:H100" si="26">G99*(1+$H$10)</f>
        <v>12.847102999999999</v>
      </c>
      <c r="I99" s="54">
        <f t="shared" ref="I99:I100" si="27">H99*F99</f>
        <v>1901.3712439999999</v>
      </c>
    </row>
    <row r="100" spans="1:11" x14ac:dyDescent="0.25">
      <c r="A100" s="44" t="s">
        <v>307</v>
      </c>
      <c r="B100" s="44" t="s">
        <v>313</v>
      </c>
      <c r="C100" s="44" t="s">
        <v>12</v>
      </c>
      <c r="D100" s="21" t="s">
        <v>312</v>
      </c>
      <c r="E100" s="23" t="s">
        <v>32</v>
      </c>
      <c r="F100" s="129">
        <f>MEMÓRIA!D88</f>
        <v>1.48</v>
      </c>
      <c r="G100" s="129">
        <v>524.35</v>
      </c>
      <c r="H100" s="72">
        <f t="shared" si="26"/>
        <v>642.17144499999995</v>
      </c>
      <c r="I100" s="54">
        <f t="shared" si="27"/>
        <v>950.41373859999987</v>
      </c>
    </row>
    <row r="101" spans="1:11" x14ac:dyDescent="0.25">
      <c r="A101" s="44" t="s">
        <v>308</v>
      </c>
      <c r="B101" s="44" t="s">
        <v>316</v>
      </c>
      <c r="C101" s="44" t="s">
        <v>12</v>
      </c>
      <c r="D101" s="21" t="s">
        <v>315</v>
      </c>
      <c r="E101" s="23" t="s">
        <v>30</v>
      </c>
      <c r="F101" s="129">
        <f>MEMÓRIA!D89</f>
        <v>8.8000000000000007</v>
      </c>
      <c r="G101" s="25">
        <v>257.97000000000003</v>
      </c>
      <c r="H101" s="72">
        <f t="shared" si="22"/>
        <v>315.93585899999999</v>
      </c>
      <c r="I101" s="54">
        <f t="shared" si="23"/>
        <v>2780.2355592000004</v>
      </c>
    </row>
    <row r="102" spans="1:11" ht="29.25" customHeight="1" x14ac:dyDescent="0.25">
      <c r="A102" s="97"/>
      <c r="B102" s="63"/>
      <c r="C102" s="63"/>
      <c r="D102" s="64"/>
      <c r="E102" s="177" t="s">
        <v>93</v>
      </c>
      <c r="F102" s="177"/>
      <c r="G102" s="177"/>
      <c r="H102" s="177"/>
      <c r="I102" s="146">
        <f>I85+I81+I74+I62+I48+I39+I33+I29+I14+I92+I96</f>
        <v>135771.61697191471</v>
      </c>
      <c r="K102" s="130"/>
    </row>
    <row r="103" spans="1:11" ht="29.25" customHeight="1" x14ac:dyDescent="0.25">
      <c r="A103" s="49"/>
      <c r="B103" s="49"/>
      <c r="C103" s="49"/>
      <c r="D103" s="40"/>
      <c r="E103" s="131"/>
      <c r="F103" s="131"/>
      <c r="G103" s="131"/>
      <c r="H103" s="131"/>
      <c r="I103" s="147"/>
      <c r="K103" s="130"/>
    </row>
    <row r="104" spans="1:11" x14ac:dyDescent="0.25">
      <c r="K104" s="130"/>
    </row>
    <row r="105" spans="1:11" x14ac:dyDescent="0.25">
      <c r="E105" s="176" t="s">
        <v>330</v>
      </c>
      <c r="F105" s="176"/>
      <c r="G105" s="176"/>
      <c r="H105" s="176"/>
      <c r="I105" s="176"/>
    </row>
    <row r="106" spans="1:11" x14ac:dyDescent="0.25">
      <c r="E106" s="47"/>
      <c r="G106" s="47"/>
      <c r="H106" s="47"/>
      <c r="I106" s="148"/>
    </row>
    <row r="108" spans="1:11" x14ac:dyDescent="0.25">
      <c r="E108" s="176" t="s">
        <v>331</v>
      </c>
      <c r="F108" s="176"/>
      <c r="G108" s="176"/>
      <c r="H108" s="176"/>
      <c r="I108" s="176"/>
    </row>
    <row r="109" spans="1:11" x14ac:dyDescent="0.25">
      <c r="E109" s="176" t="s">
        <v>332</v>
      </c>
      <c r="F109" s="176"/>
      <c r="G109" s="176"/>
      <c r="H109" s="176"/>
      <c r="I109" s="176"/>
    </row>
    <row r="110" spans="1:11" x14ac:dyDescent="0.25">
      <c r="E110" s="176" t="s">
        <v>333</v>
      </c>
      <c r="F110" s="176"/>
      <c r="G110" s="176"/>
      <c r="H110" s="176"/>
      <c r="I110" s="176"/>
    </row>
    <row r="111" spans="1:11" x14ac:dyDescent="0.25">
      <c r="E111" s="176" t="s">
        <v>96</v>
      </c>
      <c r="F111" s="176"/>
      <c r="G111" s="176"/>
      <c r="H111" s="176"/>
      <c r="I111" s="176"/>
    </row>
  </sheetData>
  <mergeCells count="11">
    <mergeCell ref="E109:I109"/>
    <mergeCell ref="E110:I110"/>
    <mergeCell ref="E111:I111"/>
    <mergeCell ref="E102:H102"/>
    <mergeCell ref="G1:G3"/>
    <mergeCell ref="E105:I105"/>
    <mergeCell ref="E108:I108"/>
    <mergeCell ref="H5:I6"/>
    <mergeCell ref="H7:I8"/>
    <mergeCell ref="G5:G9"/>
    <mergeCell ref="H9:I9"/>
  </mergeCells>
  <conditionalFormatting sqref="A76:A83 E80:G81 I80:I81">
    <cfRule type="expression" dxfId="82" priority="11">
      <formula>IF($L76="I",TRUE,FALSE)</formula>
    </cfRule>
    <cfRule type="expression" dxfId="81" priority="12">
      <formula>IF($L76="T",TRUE,FALSE)</formula>
    </cfRule>
  </conditionalFormatting>
  <conditionalFormatting sqref="A85 E85:G85 I85">
    <cfRule type="expression" dxfId="80" priority="34">
      <formula>IF($L85="T",TRUE,FALSE)</formula>
    </cfRule>
    <cfRule type="expression" dxfId="79" priority="33">
      <formula>IF($L85="I",TRUE,FALSE)</formula>
    </cfRule>
  </conditionalFormatting>
  <conditionalFormatting sqref="A92">
    <cfRule type="expression" dxfId="78" priority="21">
      <formula>IF($L92="I",TRUE,FALSE)</formula>
    </cfRule>
    <cfRule type="expression" dxfId="77" priority="22">
      <formula>IF($L92="T",TRUE,FALSE)</formula>
    </cfRule>
  </conditionalFormatting>
  <conditionalFormatting sqref="A14:I15 A75:D75 A63:E63 C64 A65:E65 H16:H28 H34:H38 E49:I61 F63:G65 A64 E64 H97:I101">
    <cfRule type="expression" dxfId="76" priority="253">
      <formula>IF($L14="T",TRUE,FALSE)</formula>
    </cfRule>
  </conditionalFormatting>
  <conditionalFormatting sqref="A14:I15 H16:H28 H34:H38 E49:I61 A63:E63 F63:G65 A64 C64 E64 A65:E65 A75:D75 H97:I101">
    <cfRule type="expression" dxfId="75" priority="252">
      <formula>IF($L14="I",TRUE,FALSE)</formula>
    </cfRule>
  </conditionalFormatting>
  <conditionalFormatting sqref="B76:D76">
    <cfRule type="expression" dxfId="74" priority="64">
      <formula>IF($L76="T",TRUE,FALSE)</formula>
    </cfRule>
    <cfRule type="expression" dxfId="73" priority="63">
      <formula>IF($L76="I",TRUE,FALSE)</formula>
    </cfRule>
  </conditionalFormatting>
  <conditionalFormatting sqref="C14:C15">
    <cfRule type="expression" dxfId="72" priority="251">
      <formula>IF($L14="I",TRUE,FALSE)</formula>
    </cfRule>
  </conditionalFormatting>
  <conditionalFormatting sqref="C63:C73">
    <cfRule type="expression" dxfId="71" priority="53">
      <formula>IF($L63="I",TRUE,FALSE)</formula>
    </cfRule>
  </conditionalFormatting>
  <conditionalFormatting sqref="C66:C73">
    <cfRule type="expression" dxfId="70" priority="55">
      <formula>IF($L66="T",TRUE,FALSE)</formula>
    </cfRule>
    <cfRule type="expression" dxfId="69" priority="54">
      <formula>IF($L66="I",TRUE,FALSE)</formula>
    </cfRule>
  </conditionalFormatting>
  <conditionalFormatting sqref="C75:C79">
    <cfRule type="expression" dxfId="68" priority="59">
      <formula>IF($L75="I",TRUE,FALSE)</formula>
    </cfRule>
  </conditionalFormatting>
  <conditionalFormatting sqref="C77:C79">
    <cfRule type="expression" dxfId="67" priority="60">
      <formula>IF($L77="I",TRUE,FALSE)</formula>
    </cfRule>
    <cfRule type="expression" dxfId="66" priority="61">
      <formula>IF($L77="T",TRUE,FALSE)</formula>
    </cfRule>
  </conditionalFormatting>
  <conditionalFormatting sqref="E66:E73">
    <cfRule type="expression" dxfId="65" priority="57">
      <formula>IF($L66="I",TRUE,FALSE)</formula>
    </cfRule>
    <cfRule type="expression" dxfId="64" priority="58">
      <formula>IF($L66="T",TRUE,FALSE)</formula>
    </cfRule>
  </conditionalFormatting>
  <conditionalFormatting sqref="E16:G48 I16:I48 A16:A62">
    <cfRule type="expression" dxfId="63" priority="26">
      <formula>IF($L16="T",TRUE,FALSE)</formula>
    </cfRule>
    <cfRule type="expression" dxfId="62" priority="25">
      <formula>IF($L16="I",TRUE,FALSE)</formula>
    </cfRule>
  </conditionalFormatting>
  <conditionalFormatting sqref="E62:G62">
    <cfRule type="expression" dxfId="61" priority="218">
      <formula>IF($L62="T",TRUE,FALSE)</formula>
    </cfRule>
    <cfRule type="expression" dxfId="60" priority="217">
      <formula>IF($L62="I",TRUE,FALSE)</formula>
    </cfRule>
  </conditionalFormatting>
  <conditionalFormatting sqref="E89:G101">
    <cfRule type="expression" dxfId="59" priority="5">
      <formula>IF($L89="I",TRUE,FALSE)</formula>
    </cfRule>
    <cfRule type="expression" dxfId="58" priority="6">
      <formula>IF($L89="T",TRUE,FALSE)</formula>
    </cfRule>
  </conditionalFormatting>
  <conditionalFormatting sqref="H30:H32">
    <cfRule type="expression" dxfId="57" priority="24">
      <formula>IF($L30="T",TRUE,FALSE)</formula>
    </cfRule>
    <cfRule type="expression" dxfId="56" priority="23">
      <formula>IF($L30="I",TRUE,FALSE)</formula>
    </cfRule>
  </conditionalFormatting>
  <conditionalFormatting sqref="H40:H47">
    <cfRule type="expression" dxfId="55" priority="44">
      <formula>IF($L40="T",TRUE,FALSE)</formula>
    </cfRule>
    <cfRule type="expression" dxfId="54" priority="43">
      <formula>IF($L40="I",TRUE,FALSE)</formula>
    </cfRule>
  </conditionalFormatting>
  <conditionalFormatting sqref="H63:H73">
    <cfRule type="expression" dxfId="53" priority="39">
      <formula>IF($L63="I",TRUE,FALSE)</formula>
    </cfRule>
    <cfRule type="expression" dxfId="52" priority="40">
      <formula>IF($L63="T",TRUE,FALSE)</formula>
    </cfRule>
  </conditionalFormatting>
  <conditionalFormatting sqref="H75:H80">
    <cfRule type="expression" dxfId="51" priority="10">
      <formula>IF($L75="T",TRUE,FALSE)</formula>
    </cfRule>
    <cfRule type="expression" dxfId="50" priority="9">
      <formula>IF($L75="I",TRUE,FALSE)</formula>
    </cfRule>
  </conditionalFormatting>
  <conditionalFormatting sqref="H82:H84">
    <cfRule type="expression" dxfId="49" priority="36">
      <formula>IF($L82="T",TRUE,FALSE)</formula>
    </cfRule>
    <cfRule type="expression" dxfId="48" priority="35">
      <formula>IF($L82="I",TRUE,FALSE)</formula>
    </cfRule>
  </conditionalFormatting>
  <conditionalFormatting sqref="H86:H91">
    <cfRule type="expression" dxfId="47" priority="27">
      <formula>IF($L86="I",TRUE,FALSE)</formula>
    </cfRule>
    <cfRule type="expression" dxfId="46" priority="28">
      <formula>IF($L86="T",TRUE,FALSE)</formula>
    </cfRule>
  </conditionalFormatting>
  <conditionalFormatting sqref="H93:H95">
    <cfRule type="expression" dxfId="45" priority="17">
      <formula>IF($L93="I",TRUE,FALSE)</formula>
    </cfRule>
    <cfRule type="expression" dxfId="44" priority="18">
      <formula>IF($L93="T",TRUE,FALSE)</formula>
    </cfRule>
  </conditionalFormatting>
  <conditionalFormatting sqref="I62:I74 A66:A74 E74:G74">
    <cfRule type="expression" dxfId="43" priority="203">
      <formula>IF($L62="T",TRUE,FALSE)</formula>
    </cfRule>
    <cfRule type="expression" dxfId="42" priority="202">
      <formula>IF($L62="I",TRUE,FALSE)</formula>
    </cfRule>
  </conditionalFormatting>
  <conditionalFormatting sqref="I89:I96 A96">
    <cfRule type="expression" dxfId="41" priority="8">
      <formula>IF($L89="T",TRUE,FALSE)</formula>
    </cfRule>
    <cfRule type="expression" dxfId="40" priority="7">
      <formula>IF($L89="I",TRUE,FALSE)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4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89"/>
  <sheetViews>
    <sheetView topLeftCell="A76" workbookViewId="0">
      <selection activeCell="E86" sqref="E86"/>
    </sheetView>
  </sheetViews>
  <sheetFormatPr defaultRowHeight="15" x14ac:dyDescent="0.25"/>
  <cols>
    <col min="1" max="1" width="9.140625" style="47"/>
    <col min="2" max="2" width="57" customWidth="1"/>
    <col min="4" max="4" width="9.140625" style="134"/>
    <col min="5" max="5" width="56" customWidth="1"/>
  </cols>
  <sheetData>
    <row r="1" spans="1:5" x14ac:dyDescent="0.25">
      <c r="A1" s="47" t="s">
        <v>3</v>
      </c>
      <c r="B1" t="s">
        <v>6</v>
      </c>
      <c r="C1" t="s">
        <v>19</v>
      </c>
      <c r="D1" s="134" t="s">
        <v>20</v>
      </c>
    </row>
    <row r="2" spans="1:5" x14ac:dyDescent="0.25">
      <c r="A2" s="102">
        <v>1</v>
      </c>
      <c r="B2" s="82" t="s">
        <v>15</v>
      </c>
      <c r="C2" s="83"/>
      <c r="D2" s="135"/>
      <c r="E2" s="78"/>
    </row>
    <row r="3" spans="1:5" ht="25.5" x14ac:dyDescent="0.25">
      <c r="A3" s="113" t="s">
        <v>94</v>
      </c>
      <c r="B3" s="55" t="s">
        <v>17</v>
      </c>
      <c r="C3" s="23" t="s">
        <v>13</v>
      </c>
      <c r="D3" s="76">
        <f>29.75*3.25</f>
        <v>96.6875</v>
      </c>
      <c r="E3" s="15" t="s">
        <v>168</v>
      </c>
    </row>
    <row r="4" spans="1:5" ht="30" x14ac:dyDescent="0.25">
      <c r="A4" s="113" t="s">
        <v>107</v>
      </c>
      <c r="B4" s="22" t="s">
        <v>28</v>
      </c>
      <c r="C4" s="23" t="s">
        <v>14</v>
      </c>
      <c r="D4" s="77">
        <f>2.1+2.1+1</f>
        <v>5.2</v>
      </c>
      <c r="E4" s="28" t="s">
        <v>116</v>
      </c>
    </row>
    <row r="5" spans="1:5" x14ac:dyDescent="0.25">
      <c r="A5" s="113" t="s">
        <v>108</v>
      </c>
      <c r="B5" s="21" t="s">
        <v>21</v>
      </c>
      <c r="C5" s="23" t="s">
        <v>23</v>
      </c>
      <c r="D5" s="62">
        <v>1</v>
      </c>
      <c r="E5" s="28" t="s">
        <v>116</v>
      </c>
    </row>
    <row r="6" spans="1:5" ht="30" x14ac:dyDescent="0.25">
      <c r="A6" s="113" t="s">
        <v>109</v>
      </c>
      <c r="B6" s="22" t="s">
        <v>18</v>
      </c>
      <c r="C6" s="23" t="s">
        <v>32</v>
      </c>
      <c r="D6" s="62">
        <f>(2.1*0.9*2*0.25)+(0.2*0.3*4*2)</f>
        <v>1.425</v>
      </c>
      <c r="E6" s="15" t="s">
        <v>321</v>
      </c>
    </row>
    <row r="7" spans="1:5" ht="30" x14ac:dyDescent="0.25">
      <c r="A7" s="113" t="s">
        <v>110</v>
      </c>
      <c r="B7" s="22" t="s">
        <v>98</v>
      </c>
      <c r="C7" s="70" t="s">
        <v>30</v>
      </c>
      <c r="D7" s="62">
        <v>90.6</v>
      </c>
      <c r="E7" s="15" t="s">
        <v>111</v>
      </c>
    </row>
    <row r="8" spans="1:5" x14ac:dyDescent="0.25">
      <c r="A8" s="113" t="s">
        <v>114</v>
      </c>
      <c r="B8" s="16" t="s">
        <v>112</v>
      </c>
      <c r="C8" s="18" t="s">
        <v>30</v>
      </c>
      <c r="D8" s="62">
        <f>1.85+0.6</f>
        <v>2.4500000000000002</v>
      </c>
      <c r="E8" s="15" t="s">
        <v>115</v>
      </c>
    </row>
    <row r="9" spans="1:5" x14ac:dyDescent="0.25">
      <c r="A9" s="113" t="s">
        <v>117</v>
      </c>
      <c r="B9" s="16" t="s">
        <v>26</v>
      </c>
      <c r="C9" s="18" t="s">
        <v>23</v>
      </c>
      <c r="D9" s="62">
        <v>3</v>
      </c>
      <c r="E9" s="15" t="s">
        <v>118</v>
      </c>
    </row>
    <row r="10" spans="1:5" x14ac:dyDescent="0.25">
      <c r="A10" s="113" t="s">
        <v>144</v>
      </c>
      <c r="B10" s="16" t="s">
        <v>140</v>
      </c>
      <c r="C10" s="70" t="s">
        <v>30</v>
      </c>
      <c r="D10" s="62">
        <v>14.33</v>
      </c>
      <c r="E10" s="15" t="s">
        <v>146</v>
      </c>
    </row>
    <row r="11" spans="1:5" x14ac:dyDescent="0.25">
      <c r="A11" s="113" t="s">
        <v>145</v>
      </c>
      <c r="B11" s="16" t="s">
        <v>141</v>
      </c>
      <c r="C11" s="70" t="s">
        <v>30</v>
      </c>
      <c r="D11" s="62">
        <v>14.33</v>
      </c>
      <c r="E11" s="15" t="s">
        <v>146</v>
      </c>
    </row>
    <row r="12" spans="1:5" x14ac:dyDescent="0.25">
      <c r="A12" s="113" t="s">
        <v>151</v>
      </c>
      <c r="B12" s="16" t="s">
        <v>149</v>
      </c>
      <c r="C12" s="70" t="s">
        <v>14</v>
      </c>
      <c r="D12" s="62">
        <v>25</v>
      </c>
      <c r="E12" s="15" t="s">
        <v>197</v>
      </c>
    </row>
    <row r="13" spans="1:5" ht="38.25" x14ac:dyDescent="0.25">
      <c r="A13" s="113" t="s">
        <v>167</v>
      </c>
      <c r="B13" s="17" t="s">
        <v>165</v>
      </c>
      <c r="C13" s="70" t="s">
        <v>30</v>
      </c>
      <c r="D13" s="62">
        <f>(14*3.25)+(12.12*4.1)+(46)</f>
        <v>141.19200000000001</v>
      </c>
      <c r="E13" s="117" t="s">
        <v>286</v>
      </c>
    </row>
    <row r="14" spans="1:5" ht="30" x14ac:dyDescent="0.25">
      <c r="A14" s="106" t="s">
        <v>253</v>
      </c>
      <c r="B14" s="107" t="s">
        <v>249</v>
      </c>
      <c r="C14" s="108" t="s">
        <v>19</v>
      </c>
      <c r="D14" s="136">
        <v>10</v>
      </c>
      <c r="E14" s="122" t="s">
        <v>287</v>
      </c>
    </row>
    <row r="15" spans="1:5" x14ac:dyDescent="0.25">
      <c r="A15" s="106" t="s">
        <v>254</v>
      </c>
      <c r="B15" s="107" t="s">
        <v>251</v>
      </c>
      <c r="C15" s="108" t="s">
        <v>32</v>
      </c>
      <c r="D15" s="136">
        <f>1.5*1.5</f>
        <v>2.25</v>
      </c>
      <c r="E15" s="112" t="s">
        <v>274</v>
      </c>
    </row>
    <row r="16" spans="1:5" ht="50.25" customHeight="1" x14ac:dyDescent="0.25">
      <c r="A16" s="106" t="s">
        <v>255</v>
      </c>
      <c r="B16" s="107" t="s">
        <v>288</v>
      </c>
      <c r="C16" s="108" t="s">
        <v>32</v>
      </c>
      <c r="D16" s="136">
        <f>D6+(D12*0.3*0.1)+(D13*0.05)+D15</f>
        <v>11.4846</v>
      </c>
      <c r="E16" s="112"/>
    </row>
    <row r="17" spans="1:5" x14ac:dyDescent="0.25">
      <c r="A17" s="102"/>
      <c r="B17" s="79" t="s">
        <v>244</v>
      </c>
      <c r="C17" s="80"/>
      <c r="D17" s="135"/>
      <c r="E17" s="81"/>
    </row>
    <row r="18" spans="1:5" ht="30" x14ac:dyDescent="0.25">
      <c r="A18" s="23" t="s">
        <v>24</v>
      </c>
      <c r="B18" s="22" t="s">
        <v>46</v>
      </c>
      <c r="C18" s="23" t="s">
        <v>30</v>
      </c>
      <c r="D18" s="62">
        <f>(0.9*2.1)+2.61</f>
        <v>4.5</v>
      </c>
      <c r="E18" s="17" t="s">
        <v>147</v>
      </c>
    </row>
    <row r="19" spans="1:5" ht="30" x14ac:dyDescent="0.25">
      <c r="A19" s="51" t="s">
        <v>25</v>
      </c>
      <c r="B19" s="40" t="s">
        <v>48</v>
      </c>
      <c r="C19" s="51" t="s">
        <v>30</v>
      </c>
      <c r="D19" s="116">
        <f>(7.83*2.2)+(7.83*3.25)</f>
        <v>42.673500000000004</v>
      </c>
      <c r="E19" s="123" t="s">
        <v>272</v>
      </c>
    </row>
    <row r="20" spans="1:5" x14ac:dyDescent="0.25">
      <c r="A20" s="23" t="s">
        <v>247</v>
      </c>
      <c r="B20" s="22" t="s">
        <v>245</v>
      </c>
      <c r="C20" s="23" t="s">
        <v>30</v>
      </c>
      <c r="D20" s="62">
        <f>1.5*0.3*2</f>
        <v>0.89999999999999991</v>
      </c>
      <c r="E20" s="16" t="s">
        <v>273</v>
      </c>
    </row>
    <row r="21" spans="1:5" x14ac:dyDescent="0.25">
      <c r="A21" s="102"/>
      <c r="B21" s="79" t="s">
        <v>34</v>
      </c>
      <c r="C21" s="80"/>
      <c r="D21" s="135"/>
      <c r="E21" s="78"/>
    </row>
    <row r="22" spans="1:5" x14ac:dyDescent="0.25">
      <c r="A22" s="23" t="s">
        <v>35</v>
      </c>
      <c r="B22" s="21" t="s">
        <v>39</v>
      </c>
      <c r="C22" s="23" t="s">
        <v>30</v>
      </c>
      <c r="D22" s="62">
        <f>(D18*2)+D13</f>
        <v>150.19200000000001</v>
      </c>
      <c r="E22" s="16" t="s">
        <v>291</v>
      </c>
    </row>
    <row r="23" spans="1:5" x14ac:dyDescent="0.25">
      <c r="A23" s="23" t="s">
        <v>36</v>
      </c>
      <c r="B23" s="21" t="s">
        <v>37</v>
      </c>
      <c r="C23" s="23" t="s">
        <v>30</v>
      </c>
      <c r="D23" s="62">
        <f t="shared" ref="D23:D24" si="0">(D19*2)+D14</f>
        <v>95.347000000000008</v>
      </c>
      <c r="E23" s="16" t="s">
        <v>291</v>
      </c>
    </row>
    <row r="24" spans="1:5" x14ac:dyDescent="0.25">
      <c r="A24" s="23" t="s">
        <v>123</v>
      </c>
      <c r="B24" s="21" t="s">
        <v>40</v>
      </c>
      <c r="C24" s="23" t="s">
        <v>30</v>
      </c>
      <c r="D24" s="62">
        <f t="shared" si="0"/>
        <v>4.05</v>
      </c>
      <c r="E24" s="16" t="s">
        <v>291</v>
      </c>
    </row>
    <row r="25" spans="1:5" x14ac:dyDescent="0.25">
      <c r="A25" s="95" t="s">
        <v>124</v>
      </c>
      <c r="B25" s="27" t="s">
        <v>51</v>
      </c>
      <c r="C25" s="51" t="s">
        <v>30</v>
      </c>
      <c r="D25" s="62">
        <f>D19*2</f>
        <v>85.347000000000008</v>
      </c>
      <c r="E25" s="17" t="s">
        <v>119</v>
      </c>
    </row>
    <row r="26" spans="1:5" ht="30" x14ac:dyDescent="0.25">
      <c r="A26" s="23" t="s">
        <v>125</v>
      </c>
      <c r="B26" s="19" t="s">
        <v>289</v>
      </c>
      <c r="C26" s="23" t="s">
        <v>32</v>
      </c>
      <c r="D26" s="62">
        <f>D13</f>
        <v>141.19200000000001</v>
      </c>
      <c r="E26" s="17" t="s">
        <v>292</v>
      </c>
    </row>
    <row r="27" spans="1:5" x14ac:dyDescent="0.25">
      <c r="A27" s="102"/>
      <c r="B27" s="84" t="s">
        <v>248</v>
      </c>
      <c r="C27" s="85"/>
      <c r="D27" s="135"/>
      <c r="E27" s="78"/>
    </row>
    <row r="28" spans="1:5" x14ac:dyDescent="0.25">
      <c r="A28" s="23" t="s">
        <v>44</v>
      </c>
      <c r="B28" s="17" t="s">
        <v>59</v>
      </c>
      <c r="C28" s="23" t="s">
        <v>19</v>
      </c>
      <c r="D28" s="62">
        <v>3</v>
      </c>
      <c r="E28" s="17" t="s">
        <v>275</v>
      </c>
    </row>
    <row r="29" spans="1:5" x14ac:dyDescent="0.25">
      <c r="A29" s="23" t="s">
        <v>45</v>
      </c>
      <c r="B29" s="17" t="s">
        <v>120</v>
      </c>
      <c r="C29" s="23" t="s">
        <v>23</v>
      </c>
      <c r="D29" s="62">
        <v>1</v>
      </c>
      <c r="E29" s="17" t="s">
        <v>276</v>
      </c>
    </row>
    <row r="30" spans="1:5" x14ac:dyDescent="0.25">
      <c r="A30" s="23" t="s">
        <v>126</v>
      </c>
      <c r="B30" s="16" t="s">
        <v>103</v>
      </c>
      <c r="C30" s="86" t="s">
        <v>30</v>
      </c>
      <c r="D30" s="62">
        <f>0.9*2.1</f>
        <v>1.8900000000000001</v>
      </c>
      <c r="E30" s="16" t="s">
        <v>200</v>
      </c>
    </row>
    <row r="31" spans="1:5" x14ac:dyDescent="0.25">
      <c r="A31" s="51" t="s">
        <v>127</v>
      </c>
      <c r="B31" t="s">
        <v>105</v>
      </c>
      <c r="C31" s="86" t="s">
        <v>30</v>
      </c>
      <c r="D31" s="62">
        <f>1.4*0.8*2</f>
        <v>2.2399999999999998</v>
      </c>
      <c r="E31" s="17" t="s">
        <v>277</v>
      </c>
    </row>
    <row r="32" spans="1:5" x14ac:dyDescent="0.25">
      <c r="A32" s="23" t="s">
        <v>201</v>
      </c>
      <c r="B32" s="16" t="s">
        <v>281</v>
      </c>
      <c r="C32" s="23" t="s">
        <v>30</v>
      </c>
      <c r="D32" s="62">
        <f>1.2*1</f>
        <v>1.2</v>
      </c>
      <c r="E32" s="17" t="s">
        <v>283</v>
      </c>
    </row>
    <row r="33" spans="1:5" ht="19.5" customHeight="1" x14ac:dyDescent="0.25">
      <c r="A33" s="23" t="s">
        <v>202</v>
      </c>
      <c r="B33" s="16" t="s">
        <v>279</v>
      </c>
      <c r="C33" s="23" t="s">
        <v>30</v>
      </c>
      <c r="D33" s="62">
        <f>(1*0.5)+(2*0.5*2)</f>
        <v>2.5</v>
      </c>
      <c r="E33" s="17" t="s">
        <v>284</v>
      </c>
    </row>
    <row r="34" spans="1:5" x14ac:dyDescent="0.25">
      <c r="A34" s="23" t="s">
        <v>205</v>
      </c>
      <c r="B34" s="16" t="s">
        <v>203</v>
      </c>
      <c r="C34" s="23" t="s">
        <v>30</v>
      </c>
      <c r="D34" s="62">
        <f>D33+D32</f>
        <v>3.7</v>
      </c>
      <c r="E34" s="17" t="s">
        <v>278</v>
      </c>
    </row>
    <row r="35" spans="1:5" ht="32.25" customHeight="1" x14ac:dyDescent="0.25">
      <c r="A35" s="23" t="s">
        <v>208</v>
      </c>
      <c r="B35" s="22" t="s">
        <v>206</v>
      </c>
      <c r="C35" s="23" t="s">
        <v>30</v>
      </c>
      <c r="D35" s="62">
        <v>9.0500000000000007</v>
      </c>
      <c r="E35" s="22" t="s">
        <v>285</v>
      </c>
    </row>
    <row r="36" spans="1:5" x14ac:dyDescent="0.25">
      <c r="A36" s="102"/>
      <c r="B36" s="84" t="s">
        <v>135</v>
      </c>
      <c r="C36" s="85"/>
      <c r="D36" s="135"/>
      <c r="E36" s="78"/>
    </row>
    <row r="37" spans="1:5" ht="30" x14ac:dyDescent="0.25">
      <c r="A37" s="23" t="s">
        <v>53</v>
      </c>
      <c r="B37" s="17" t="s">
        <v>99</v>
      </c>
      <c r="C37" s="23" t="s">
        <v>19</v>
      </c>
      <c r="D37" s="24">
        <v>1</v>
      </c>
      <c r="E37" s="21" t="s">
        <v>128</v>
      </c>
    </row>
    <row r="38" spans="1:5" ht="45" x14ac:dyDescent="0.25">
      <c r="A38" s="23" t="s">
        <v>54</v>
      </c>
      <c r="B38" s="17" t="s">
        <v>101</v>
      </c>
      <c r="C38" s="23" t="s">
        <v>19</v>
      </c>
      <c r="D38" s="24">
        <v>2</v>
      </c>
      <c r="E38" s="21" t="s">
        <v>128</v>
      </c>
    </row>
    <row r="39" spans="1:5" x14ac:dyDescent="0.25">
      <c r="A39" s="23" t="s">
        <v>55</v>
      </c>
      <c r="B39" s="16" t="s">
        <v>129</v>
      </c>
      <c r="C39" s="23" t="s">
        <v>19</v>
      </c>
      <c r="D39" s="24">
        <v>1</v>
      </c>
      <c r="E39" s="21" t="s">
        <v>128</v>
      </c>
    </row>
    <row r="40" spans="1:5" x14ac:dyDescent="0.25">
      <c r="A40" s="23" t="s">
        <v>56</v>
      </c>
      <c r="B40" s="16" t="s">
        <v>131</v>
      </c>
      <c r="C40" s="23" t="s">
        <v>19</v>
      </c>
      <c r="D40" s="24">
        <v>1</v>
      </c>
      <c r="E40" s="89" t="s">
        <v>139</v>
      </c>
    </row>
    <row r="41" spans="1:5" ht="30" x14ac:dyDescent="0.25">
      <c r="A41" s="23" t="s">
        <v>57</v>
      </c>
      <c r="B41" s="17" t="s">
        <v>133</v>
      </c>
      <c r="C41" s="23" t="s">
        <v>19</v>
      </c>
      <c r="D41" s="24">
        <v>1</v>
      </c>
      <c r="E41" s="90" t="s">
        <v>139</v>
      </c>
    </row>
    <row r="42" spans="1:5" ht="30" x14ac:dyDescent="0.25">
      <c r="A42" s="51" t="s">
        <v>58</v>
      </c>
      <c r="B42" s="19" t="s">
        <v>136</v>
      </c>
      <c r="C42" s="51" t="s">
        <v>30</v>
      </c>
      <c r="D42" s="52">
        <f>1.8*0.6</f>
        <v>1.08</v>
      </c>
      <c r="E42" s="89" t="s">
        <v>139</v>
      </c>
    </row>
    <row r="43" spans="1:5" ht="30" x14ac:dyDescent="0.25">
      <c r="A43" s="23" t="s">
        <v>61</v>
      </c>
      <c r="B43" s="22" t="s">
        <v>191</v>
      </c>
      <c r="C43" s="23" t="s">
        <v>14</v>
      </c>
      <c r="D43" s="52">
        <v>12</v>
      </c>
      <c r="E43" s="89" t="s">
        <v>295</v>
      </c>
    </row>
    <row r="44" spans="1:5" ht="30" x14ac:dyDescent="0.25">
      <c r="A44" s="23" t="s">
        <v>195</v>
      </c>
      <c r="B44" s="22" t="s">
        <v>193</v>
      </c>
      <c r="C44" s="23" t="s">
        <v>14</v>
      </c>
      <c r="D44" s="52">
        <v>12</v>
      </c>
      <c r="E44" s="89" t="s">
        <v>295</v>
      </c>
    </row>
    <row r="45" spans="1:5" ht="30" x14ac:dyDescent="0.25">
      <c r="A45" s="23" t="s">
        <v>213</v>
      </c>
      <c r="B45" s="22" t="s">
        <v>138</v>
      </c>
      <c r="C45" s="23" t="s">
        <v>30</v>
      </c>
      <c r="D45" s="24">
        <f>1.8*0.9</f>
        <v>1.62</v>
      </c>
      <c r="E45" s="89" t="s">
        <v>139</v>
      </c>
    </row>
    <row r="46" spans="1:5" x14ac:dyDescent="0.25">
      <c r="A46" s="23" t="s">
        <v>214</v>
      </c>
      <c r="B46" s="17" t="s">
        <v>209</v>
      </c>
      <c r="C46" s="87" t="s">
        <v>23</v>
      </c>
      <c r="D46" s="62">
        <v>1</v>
      </c>
      <c r="E46" s="21" t="s">
        <v>294</v>
      </c>
    </row>
    <row r="47" spans="1:5" ht="30" x14ac:dyDescent="0.25">
      <c r="A47" s="23" t="s">
        <v>223</v>
      </c>
      <c r="B47" s="22" t="s">
        <v>211</v>
      </c>
      <c r="C47" s="23" t="s">
        <v>19</v>
      </c>
      <c r="D47" s="62">
        <v>1</v>
      </c>
      <c r="E47" s="21" t="s">
        <v>294</v>
      </c>
    </row>
    <row r="48" spans="1:5" ht="30" x14ac:dyDescent="0.25">
      <c r="A48" s="23" t="s">
        <v>225</v>
      </c>
      <c r="B48" s="22" t="s">
        <v>215</v>
      </c>
      <c r="C48" s="23" t="s">
        <v>19</v>
      </c>
      <c r="D48" s="62">
        <v>1</v>
      </c>
      <c r="E48" s="21" t="s">
        <v>294</v>
      </c>
    </row>
    <row r="49" spans="1:5" x14ac:dyDescent="0.25">
      <c r="A49" s="23" t="s">
        <v>226</v>
      </c>
      <c r="B49" s="22" t="s">
        <v>217</v>
      </c>
      <c r="C49" s="23" t="s">
        <v>19</v>
      </c>
      <c r="D49" s="62">
        <v>2</v>
      </c>
      <c r="E49" s="22" t="s">
        <v>220</v>
      </c>
    </row>
    <row r="50" spans="1:5" x14ac:dyDescent="0.25">
      <c r="A50" s="102"/>
      <c r="B50" s="84" t="s">
        <v>72</v>
      </c>
      <c r="C50" s="85"/>
      <c r="D50" s="135"/>
      <c r="E50" s="88"/>
    </row>
    <row r="51" spans="1:5" ht="25.5" x14ac:dyDescent="0.25">
      <c r="A51" s="23" t="s">
        <v>63</v>
      </c>
      <c r="B51" s="124" t="s">
        <v>73</v>
      </c>
      <c r="C51" s="125" t="s">
        <v>7</v>
      </c>
      <c r="D51" s="62">
        <v>10</v>
      </c>
      <c r="E51" s="17"/>
    </row>
    <row r="52" spans="1:5" ht="30" x14ac:dyDescent="0.25">
      <c r="A52" s="23" t="s">
        <v>64</v>
      </c>
      <c r="B52" s="17" t="s">
        <v>169</v>
      </c>
      <c r="C52" s="86" t="s">
        <v>7</v>
      </c>
      <c r="D52" s="62">
        <v>20</v>
      </c>
      <c r="E52" s="17"/>
    </row>
    <row r="53" spans="1:5" x14ac:dyDescent="0.25">
      <c r="A53" s="39" t="s">
        <v>65</v>
      </c>
      <c r="B53" s="126" t="s">
        <v>74</v>
      </c>
      <c r="C53" s="127" t="s">
        <v>81</v>
      </c>
      <c r="D53" s="62">
        <v>5</v>
      </c>
      <c r="E53" s="17"/>
    </row>
    <row r="54" spans="1:5" x14ac:dyDescent="0.25">
      <c r="A54" s="39" t="s">
        <v>66</v>
      </c>
      <c r="B54" s="21" t="s">
        <v>172</v>
      </c>
      <c r="C54" s="86" t="s">
        <v>81</v>
      </c>
      <c r="D54" s="62">
        <v>10</v>
      </c>
      <c r="E54" s="17"/>
    </row>
    <row r="55" spans="1:5" ht="30" x14ac:dyDescent="0.25">
      <c r="A55" s="39" t="s">
        <v>67</v>
      </c>
      <c r="B55" s="22" t="s">
        <v>175</v>
      </c>
      <c r="C55" s="86" t="s">
        <v>14</v>
      </c>
      <c r="D55" s="62">
        <v>100</v>
      </c>
      <c r="E55" s="17"/>
    </row>
    <row r="56" spans="1:5" ht="30" x14ac:dyDescent="0.25">
      <c r="A56" s="39" t="s">
        <v>68</v>
      </c>
      <c r="B56" s="22" t="s">
        <v>176</v>
      </c>
      <c r="C56" s="86" t="s">
        <v>14</v>
      </c>
      <c r="D56" s="62">
        <v>50</v>
      </c>
      <c r="E56" s="17"/>
    </row>
    <row r="57" spans="1:5" ht="30" x14ac:dyDescent="0.25">
      <c r="A57" s="39" t="s">
        <v>171</v>
      </c>
      <c r="B57" s="22" t="s">
        <v>177</v>
      </c>
      <c r="C57" s="86" t="s">
        <v>14</v>
      </c>
      <c r="D57" s="62">
        <v>100</v>
      </c>
      <c r="E57" s="17"/>
    </row>
    <row r="58" spans="1:5" ht="30" x14ac:dyDescent="0.25">
      <c r="A58" s="39" t="s">
        <v>187</v>
      </c>
      <c r="B58" s="22" t="s">
        <v>179</v>
      </c>
      <c r="C58" s="86" t="s">
        <v>14</v>
      </c>
      <c r="D58" s="62">
        <v>200</v>
      </c>
      <c r="E58" s="17"/>
    </row>
    <row r="59" spans="1:5" ht="30" x14ac:dyDescent="0.25">
      <c r="A59" s="39" t="s">
        <v>188</v>
      </c>
      <c r="B59" s="22" t="s">
        <v>181</v>
      </c>
      <c r="C59" s="86" t="s">
        <v>14</v>
      </c>
      <c r="D59" s="62">
        <v>10</v>
      </c>
      <c r="E59" s="17"/>
    </row>
    <row r="60" spans="1:5" x14ac:dyDescent="0.25">
      <c r="A60" s="39" t="s">
        <v>189</v>
      </c>
      <c r="B60" s="21" t="s">
        <v>183</v>
      </c>
      <c r="C60" s="86" t="s">
        <v>14</v>
      </c>
      <c r="D60" s="62">
        <v>50</v>
      </c>
      <c r="E60" s="17"/>
    </row>
    <row r="61" spans="1:5" x14ac:dyDescent="0.25">
      <c r="A61" s="39" t="s">
        <v>190</v>
      </c>
      <c r="B61" s="21" t="s">
        <v>185</v>
      </c>
      <c r="C61" s="86" t="s">
        <v>19</v>
      </c>
      <c r="D61" s="62">
        <v>4</v>
      </c>
      <c r="E61" s="17"/>
    </row>
    <row r="62" spans="1:5" ht="18.75" customHeight="1" x14ac:dyDescent="0.25">
      <c r="A62" s="102"/>
      <c r="B62" s="84" t="s">
        <v>85</v>
      </c>
      <c r="C62" s="85"/>
      <c r="D62" s="135"/>
      <c r="E62" s="88"/>
    </row>
    <row r="63" spans="1:5" ht="25.5" x14ac:dyDescent="0.25">
      <c r="A63" s="23" t="s">
        <v>70</v>
      </c>
      <c r="B63" s="55" t="s">
        <v>82</v>
      </c>
      <c r="C63" s="44" t="s">
        <v>30</v>
      </c>
      <c r="D63" s="62">
        <v>89.75</v>
      </c>
      <c r="E63" s="21" t="s">
        <v>155</v>
      </c>
    </row>
    <row r="64" spans="1:5" ht="25.5" x14ac:dyDescent="0.25">
      <c r="A64" s="23" t="s">
        <v>157</v>
      </c>
      <c r="B64" s="55" t="s">
        <v>84</v>
      </c>
      <c r="C64" s="44" t="s">
        <v>14</v>
      </c>
      <c r="D64" s="62">
        <v>18.55</v>
      </c>
      <c r="E64" s="22" t="s">
        <v>296</v>
      </c>
    </row>
    <row r="65" spans="1:5" ht="30" x14ac:dyDescent="0.25">
      <c r="A65" s="23" t="s">
        <v>158</v>
      </c>
      <c r="B65" s="21" t="s">
        <v>148</v>
      </c>
      <c r="C65" s="44" t="s">
        <v>14</v>
      </c>
      <c r="D65" s="62">
        <v>30.2</v>
      </c>
      <c r="E65" s="17" t="s">
        <v>297</v>
      </c>
    </row>
    <row r="66" spans="1:5" x14ac:dyDescent="0.25">
      <c r="A66" s="23" t="s">
        <v>159</v>
      </c>
      <c r="B66" s="16" t="s">
        <v>152</v>
      </c>
      <c r="C66" s="44" t="s">
        <v>30</v>
      </c>
      <c r="D66" s="62">
        <v>13.4</v>
      </c>
      <c r="E66" s="17" t="s">
        <v>156</v>
      </c>
    </row>
    <row r="67" spans="1:5" x14ac:dyDescent="0.25">
      <c r="A67" s="23" t="s">
        <v>160</v>
      </c>
      <c r="B67" s="16" t="s">
        <v>83</v>
      </c>
      <c r="C67" s="44" t="s">
        <v>30</v>
      </c>
      <c r="D67" s="62">
        <f>13.4+5</f>
        <v>18.399999999999999</v>
      </c>
      <c r="E67" s="17" t="s">
        <v>221</v>
      </c>
    </row>
    <row r="68" spans="1:5" x14ac:dyDescent="0.25">
      <c r="A68" s="23" t="s">
        <v>293</v>
      </c>
      <c r="B68" s="16" t="s">
        <v>198</v>
      </c>
      <c r="C68" s="23" t="s">
        <v>30</v>
      </c>
      <c r="D68" s="62">
        <f>D7</f>
        <v>90.6</v>
      </c>
      <c r="E68" s="17"/>
    </row>
    <row r="69" spans="1:5" x14ac:dyDescent="0.25">
      <c r="A69" s="102"/>
      <c r="B69" s="84" t="s">
        <v>89</v>
      </c>
      <c r="C69" s="85"/>
      <c r="D69" s="135"/>
      <c r="E69" s="78"/>
    </row>
    <row r="70" spans="1:5" ht="30" x14ac:dyDescent="0.25">
      <c r="A70" s="86" t="s">
        <v>78</v>
      </c>
      <c r="B70" s="21" t="s">
        <v>161</v>
      </c>
      <c r="C70" s="44" t="s">
        <v>30</v>
      </c>
      <c r="D70" s="62">
        <f>132+118.88+85.34+15</f>
        <v>351.22</v>
      </c>
      <c r="E70" s="22" t="s">
        <v>300</v>
      </c>
    </row>
    <row r="71" spans="1:5" x14ac:dyDescent="0.25">
      <c r="A71" s="86" t="s">
        <v>79</v>
      </c>
      <c r="B71" s="21" t="s">
        <v>162</v>
      </c>
      <c r="C71" s="44" t="s">
        <v>30</v>
      </c>
      <c r="D71" s="62">
        <f>(0.9*2.1*2*4)+(0.7*2.1*2*1)</f>
        <v>18.060000000000002</v>
      </c>
      <c r="E71" s="21" t="s">
        <v>298</v>
      </c>
    </row>
    <row r="72" spans="1:5" x14ac:dyDescent="0.25">
      <c r="A72" s="44" t="s">
        <v>80</v>
      </c>
      <c r="B72" s="128" t="s">
        <v>90</v>
      </c>
      <c r="C72" s="44" t="s">
        <v>30</v>
      </c>
      <c r="D72" s="62">
        <f>(1.2*2.5*2)+(1.2*1.5*2*2)</f>
        <v>13.2</v>
      </c>
      <c r="E72" s="22" t="s">
        <v>164</v>
      </c>
    </row>
    <row r="73" spans="1:5" x14ac:dyDescent="0.25">
      <c r="A73" s="103" t="s">
        <v>230</v>
      </c>
      <c r="B73" s="84" t="s">
        <v>231</v>
      </c>
      <c r="C73" s="85"/>
      <c r="D73" s="135"/>
      <c r="E73" s="78"/>
    </row>
    <row r="74" spans="1:5" x14ac:dyDescent="0.25">
      <c r="A74" s="44" t="s">
        <v>232</v>
      </c>
      <c r="B74" s="98" t="s">
        <v>237</v>
      </c>
      <c r="C74" s="100" t="s">
        <v>30</v>
      </c>
      <c r="D74" s="62">
        <f>(3.35+2.5+2.4)*1.2</f>
        <v>9.9</v>
      </c>
      <c r="E74" s="16" t="s">
        <v>268</v>
      </c>
    </row>
    <row r="75" spans="1:5" x14ac:dyDescent="0.25">
      <c r="A75" s="44" t="s">
        <v>233</v>
      </c>
      <c r="B75" s="98" t="s">
        <v>239</v>
      </c>
      <c r="C75" s="100" t="s">
        <v>32</v>
      </c>
      <c r="D75" s="62">
        <f>0.2*0.3*(3.35+2.5+2.4)</f>
        <v>0.495</v>
      </c>
      <c r="E75" s="16" t="s">
        <v>269</v>
      </c>
    </row>
    <row r="76" spans="1:5" x14ac:dyDescent="0.25">
      <c r="A76" s="44" t="s">
        <v>234</v>
      </c>
      <c r="B76" s="98" t="s">
        <v>241</v>
      </c>
      <c r="C76" s="100" t="s">
        <v>30</v>
      </c>
      <c r="D76" s="62">
        <v>3.15</v>
      </c>
      <c r="E76" s="16"/>
    </row>
    <row r="77" spans="1:5" x14ac:dyDescent="0.25">
      <c r="A77" s="44" t="s">
        <v>235</v>
      </c>
      <c r="B77" s="99" t="s">
        <v>39</v>
      </c>
      <c r="C77" s="101" t="s">
        <v>30</v>
      </c>
      <c r="D77" s="62">
        <f>D74</f>
        <v>9.9</v>
      </c>
      <c r="E77" s="16"/>
    </row>
    <row r="78" spans="1:5" x14ac:dyDescent="0.25">
      <c r="A78" s="44" t="s">
        <v>236</v>
      </c>
      <c r="B78" s="99" t="s">
        <v>37</v>
      </c>
      <c r="C78" s="101" t="s">
        <v>30</v>
      </c>
      <c r="D78" s="62">
        <f>D74</f>
        <v>9.9</v>
      </c>
      <c r="E78" s="16"/>
    </row>
    <row r="79" spans="1:5" x14ac:dyDescent="0.25">
      <c r="A79" s="44" t="s">
        <v>243</v>
      </c>
      <c r="B79" s="99" t="s">
        <v>40</v>
      </c>
      <c r="C79" s="101" t="s">
        <v>30</v>
      </c>
      <c r="D79" s="62">
        <f>D74</f>
        <v>9.9</v>
      </c>
      <c r="E79" s="16"/>
    </row>
    <row r="80" spans="1:5" x14ac:dyDescent="0.25">
      <c r="A80" s="115" t="s">
        <v>257</v>
      </c>
      <c r="B80" s="79" t="s">
        <v>258</v>
      </c>
      <c r="C80" s="80"/>
      <c r="D80" s="137"/>
      <c r="E80" s="114"/>
    </row>
    <row r="81" spans="1:5" x14ac:dyDescent="0.25">
      <c r="A81" s="18" t="s">
        <v>265</v>
      </c>
      <c r="B81" s="21" t="s">
        <v>259</v>
      </c>
      <c r="C81" s="23" t="s">
        <v>30</v>
      </c>
      <c r="D81" s="62">
        <f>1.5*1.5</f>
        <v>2.25</v>
      </c>
      <c r="E81" s="16" t="s">
        <v>270</v>
      </c>
    </row>
    <row r="82" spans="1:5" x14ac:dyDescent="0.25">
      <c r="A82" s="18" t="s">
        <v>266</v>
      </c>
      <c r="B82" s="21" t="s">
        <v>261</v>
      </c>
      <c r="C82" s="23" t="s">
        <v>30</v>
      </c>
      <c r="D82" s="62">
        <f>D68</f>
        <v>90.6</v>
      </c>
      <c r="E82" s="179" t="s">
        <v>271</v>
      </c>
    </row>
    <row r="83" spans="1:5" x14ac:dyDescent="0.25">
      <c r="A83" s="18" t="s">
        <v>267</v>
      </c>
      <c r="B83" s="21" t="s">
        <v>263</v>
      </c>
      <c r="C83" s="23" t="s">
        <v>30</v>
      </c>
      <c r="D83" s="62">
        <f>D82</f>
        <v>90.6</v>
      </c>
      <c r="E83" s="180"/>
    </row>
    <row r="84" spans="1:5" x14ac:dyDescent="0.25">
      <c r="A84" s="132"/>
      <c r="B84" s="84" t="s">
        <v>317</v>
      </c>
      <c r="C84" s="85"/>
      <c r="D84" s="138"/>
      <c r="E84" s="133"/>
    </row>
    <row r="85" spans="1:5" x14ac:dyDescent="0.25">
      <c r="A85" s="44" t="s">
        <v>302</v>
      </c>
      <c r="B85" s="21" t="s">
        <v>306</v>
      </c>
      <c r="C85" s="23" t="s">
        <v>14</v>
      </c>
      <c r="D85" s="62">
        <v>20</v>
      </c>
      <c r="E85" s="16" t="s">
        <v>309</v>
      </c>
    </row>
    <row r="86" spans="1:5" ht="30" x14ac:dyDescent="0.25">
      <c r="A86" s="44" t="s">
        <v>303</v>
      </c>
      <c r="B86" s="22" t="s">
        <v>322</v>
      </c>
      <c r="C86" s="23" t="s">
        <v>32</v>
      </c>
      <c r="D86" s="62">
        <f>1*1*1</f>
        <v>1</v>
      </c>
      <c r="E86" s="21" t="s">
        <v>324</v>
      </c>
    </row>
    <row r="87" spans="1:5" ht="30" x14ac:dyDescent="0.25">
      <c r="A87" s="44" t="s">
        <v>304</v>
      </c>
      <c r="B87" s="21" t="s">
        <v>310</v>
      </c>
      <c r="C87" s="23" t="s">
        <v>314</v>
      </c>
      <c r="D87" s="62">
        <f>D88*100</f>
        <v>148</v>
      </c>
      <c r="E87" s="17" t="s">
        <v>318</v>
      </c>
    </row>
    <row r="88" spans="1:5" ht="30" x14ac:dyDescent="0.25">
      <c r="A88" s="44" t="s">
        <v>307</v>
      </c>
      <c r="B88" s="21" t="s">
        <v>312</v>
      </c>
      <c r="C88" s="23" t="s">
        <v>32</v>
      </c>
      <c r="D88" s="62">
        <f>(0.2*0.3*4*2)+(1*1*1)</f>
        <v>1.48</v>
      </c>
      <c r="E88" s="17" t="s">
        <v>319</v>
      </c>
    </row>
    <row r="89" spans="1:5" x14ac:dyDescent="0.25">
      <c r="A89" s="44" t="s">
        <v>308</v>
      </c>
      <c r="B89" s="21" t="s">
        <v>315</v>
      </c>
      <c r="C89" s="23" t="s">
        <v>30</v>
      </c>
      <c r="D89" s="62">
        <f>(0.3*8*2)+(1*1*4)</f>
        <v>8.8000000000000007</v>
      </c>
      <c r="E89" s="17" t="s">
        <v>320</v>
      </c>
    </row>
  </sheetData>
  <mergeCells count="1">
    <mergeCell ref="E82:E83"/>
  </mergeCells>
  <conditionalFormatting sqref="A3:A13">
    <cfRule type="expression" dxfId="39" priority="45">
      <formula>IF($L3="I",TRUE,FALSE)</formula>
    </cfRule>
    <cfRule type="expression" dxfId="38" priority="46">
      <formula>IF($L3="T",TRUE,FALSE)</formula>
    </cfRule>
  </conditionalFormatting>
  <conditionalFormatting sqref="A18:A20">
    <cfRule type="expression" dxfId="37" priority="43">
      <formula>IF($L18="I",TRUE,FALSE)</formula>
    </cfRule>
    <cfRule type="expression" dxfId="36" priority="44">
      <formula>IF($L18="T",TRUE,FALSE)</formula>
    </cfRule>
  </conditionalFormatting>
  <conditionalFormatting sqref="A22:A26 A28:A35">
    <cfRule type="expression" dxfId="35" priority="176">
      <formula>IF($L22="I",TRUE,FALSE)</formula>
    </cfRule>
    <cfRule type="expression" dxfId="34" priority="176">
      <formula>IF($L22="T",TRUE,FALSE)</formula>
    </cfRule>
  </conditionalFormatting>
  <conditionalFormatting sqref="A37:A49">
    <cfRule type="expression" dxfId="33" priority="33">
      <formula>IF($L37="I",TRUE,FALSE)</formula>
    </cfRule>
    <cfRule type="expression" dxfId="32" priority="34">
      <formula>IF($L37="T",TRUE,FALSE)</formula>
    </cfRule>
  </conditionalFormatting>
  <conditionalFormatting sqref="A51:A61">
    <cfRule type="expression" dxfId="31" priority="31">
      <formula>IF($L51="I",TRUE,FALSE)</formula>
    </cfRule>
    <cfRule type="expression" dxfId="30" priority="32">
      <formula>IF($L51="T",TRUE,FALSE)</formula>
    </cfRule>
  </conditionalFormatting>
  <conditionalFormatting sqref="A63:A68">
    <cfRule type="expression" dxfId="29" priority="25">
      <formula>IF($L63="I",TRUE,FALSE)</formula>
    </cfRule>
    <cfRule type="expression" dxfId="28" priority="26">
      <formula>IF($L63="T",TRUE,FALSE)</formula>
    </cfRule>
  </conditionalFormatting>
  <conditionalFormatting sqref="A70:A71">
    <cfRule type="expression" dxfId="27" priority="23">
      <formula>IF($L70="I",TRUE,FALSE)</formula>
    </cfRule>
    <cfRule type="expression" dxfId="26" priority="24">
      <formula>IF($L70="T",TRUE,FALSE)</formula>
    </cfRule>
  </conditionalFormatting>
  <conditionalFormatting sqref="A73">
    <cfRule type="expression" dxfId="25" priority="17">
      <formula>IF($L73="I",TRUE,FALSE)</formula>
    </cfRule>
    <cfRule type="expression" dxfId="24" priority="18">
      <formula>IF($L73="T",TRUE,FALSE)</formula>
    </cfRule>
  </conditionalFormatting>
  <conditionalFormatting sqref="B63:B64">
    <cfRule type="expression" dxfId="23" priority="58">
      <formula>IF($L63="T",TRUE,FALSE)</formula>
    </cfRule>
    <cfRule type="expression" dxfId="22" priority="57">
      <formula>IF($L63="I",TRUE,FALSE)</formula>
    </cfRule>
  </conditionalFormatting>
  <conditionalFormatting sqref="B2:C3">
    <cfRule type="expression" dxfId="21" priority="103">
      <formula>IF($L2="I",TRUE,FALSE)</formula>
    </cfRule>
    <cfRule type="expression" dxfId="20" priority="104">
      <formula>IF($L2="T",TRUE,FALSE)</formula>
    </cfRule>
  </conditionalFormatting>
  <conditionalFormatting sqref="B51:C51 C52 B53:C53">
    <cfRule type="expression" dxfId="19" priority="74">
      <formula>IF($L51="T",TRUE,FALSE)</formula>
    </cfRule>
    <cfRule type="expression" dxfId="18" priority="73">
      <formula>IF($L51="I",TRUE,FALSE)</formula>
    </cfRule>
  </conditionalFormatting>
  <conditionalFormatting sqref="C4:C7">
    <cfRule type="expression" dxfId="17" priority="100">
      <formula>IF($L4="T",TRUE,FALSE)</formula>
    </cfRule>
    <cfRule type="expression" dxfId="16" priority="99">
      <formula>IF($L4="I",TRUE,FALSE)</formula>
    </cfRule>
  </conditionalFormatting>
  <conditionalFormatting sqref="C10:C50">
    <cfRule type="expression" dxfId="15" priority="13">
      <formula>IF($L10="I",TRUE,FALSE)</formula>
    </cfRule>
    <cfRule type="expression" dxfId="14" priority="14">
      <formula>IF($L10="T",TRUE,FALSE)</formula>
    </cfRule>
  </conditionalFormatting>
  <conditionalFormatting sqref="C54:C62">
    <cfRule type="expression" dxfId="13" priority="27">
      <formula>IF($L54="I",TRUE,FALSE)</formula>
    </cfRule>
    <cfRule type="expression" dxfId="12" priority="28">
      <formula>IF($L54="T",TRUE,FALSE)</formula>
    </cfRule>
  </conditionalFormatting>
  <conditionalFormatting sqref="C68:C69">
    <cfRule type="expression" dxfId="11" priority="7">
      <formula>IF($L68="I",TRUE,FALSE)</formula>
    </cfRule>
    <cfRule type="expression" dxfId="10" priority="8">
      <formula>IF($L68="T",TRUE,FALSE)</formula>
    </cfRule>
  </conditionalFormatting>
  <conditionalFormatting sqref="C73">
    <cfRule type="expression" dxfId="9" priority="21">
      <formula>IF($L73="I",TRUE,FALSE)</formula>
    </cfRule>
    <cfRule type="expression" dxfId="8" priority="22">
      <formula>IF($L73="T",TRUE,FALSE)</formula>
    </cfRule>
  </conditionalFormatting>
  <conditionalFormatting sqref="C77:C89">
    <cfRule type="expression" dxfId="7" priority="2">
      <formula>IF($L77="T",TRUE,FALSE)</formula>
    </cfRule>
    <cfRule type="expression" dxfId="6" priority="1">
      <formula>IF($L77="I",TRUE,FALSE)</formula>
    </cfRule>
  </conditionalFormatting>
  <conditionalFormatting sqref="D37:D45">
    <cfRule type="expression" dxfId="5" priority="79">
      <formula>IF($L37="I",TRUE,FALSE)</formula>
    </cfRule>
    <cfRule type="expression" dxfId="4" priority="80">
      <formula>IF($L37="T",TRUE,FALSE)</formula>
    </cfRule>
  </conditionalFormatting>
  <conditionalFormatting sqref="D3:E4">
    <cfRule type="expression" dxfId="3" priority="155">
      <formula>IF($G3="I",TRUE,FALSE)</formula>
    </cfRule>
    <cfRule type="expression" dxfId="2" priority="156">
      <formula>IF($G3="T",TRUE,FALSE)</formula>
    </cfRule>
  </conditionalFormatting>
  <conditionalFormatting sqref="E5:E17">
    <cfRule type="expression" dxfId="1" priority="97">
      <formula>IF($G5="I",TRUE,FALSE)</formula>
    </cfRule>
    <cfRule type="expression" dxfId="0" priority="98">
      <formula>IF($G5="T",TRUE,FALSE)</formula>
    </cfRule>
  </conditionalFormatting>
  <pageMargins left="0.51181102362204722" right="0.51181102362204722" top="0.78740157480314965" bottom="0.78740157480314965" header="0.31496062992125984" footer="0.31496062992125984"/>
  <pageSetup paperSize="9" scale="5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Planilha1 (2)</vt:lpstr>
      <vt:lpstr>Planilha1</vt:lpstr>
      <vt:lpstr>MEMÓRIA</vt:lpstr>
      <vt:lpstr>MEMÓRIA!Area_de_impressao</vt:lpstr>
      <vt:lpstr>Planilha1!Area_de_impressao</vt:lpstr>
      <vt:lpstr>'Planilha1 (2)'!Area_de_impressao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Licitação Administração Tietê</cp:lastModifiedBy>
  <cp:lastPrinted>2025-01-14T17:48:08Z</cp:lastPrinted>
  <dcterms:created xsi:type="dcterms:W3CDTF">2022-07-04T16:22:37Z</dcterms:created>
  <dcterms:modified xsi:type="dcterms:W3CDTF">2025-02-19T16:57:42Z</dcterms:modified>
</cp:coreProperties>
</file>