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feitura\Desktop\ATUALIZAÇÃO PRAÇA ALTOS TIETE\"/>
    </mc:Choice>
  </mc:AlternateContent>
  <bookViews>
    <workbookView xWindow="0" yWindow="0" windowWidth="23940" windowHeight="9735"/>
  </bookViews>
  <sheets>
    <sheet name="PLANILHA FINAL" sheetId="10" r:id="rId1"/>
    <sheet name="QUADRO RESUMO ORÇAMENTOS" sheetId="11" r:id="rId2"/>
    <sheet name="CRONOGRAMA" sheetId="8" r:id="rId3"/>
    <sheet name="MEMÓRIA" sheetId="3" r:id="rId4"/>
  </sheets>
  <externalReferences>
    <externalReference r:id="rId5"/>
    <externalReference r:id="rId6"/>
    <externalReference r:id="rId7"/>
  </externalReferences>
  <definedNames>
    <definedName name="_xlnm.Print_Area" localSheetId="2">CRONOGRAMA!$A$1:$L$97</definedName>
    <definedName name="_xlnm.Print_Area" localSheetId="3">MEMÓRIA!$A$1:$E$54</definedName>
    <definedName name="_xlnm.Print_Area" localSheetId="0">'PLANILHA FINAL'!$A$1:$I$69</definedName>
    <definedName name="_xlnm.Print_Area" localSheetId="1">'QUADRO RESUMO ORÇAMENTOS'!$A$1:$C$20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0" l="1"/>
  <c r="I36" i="10" s="1"/>
  <c r="C13" i="11" l="1"/>
  <c r="G46" i="10" s="1"/>
  <c r="I56" i="10" l="1"/>
  <c r="I47" i="10"/>
  <c r="I42" i="10"/>
  <c r="I32" i="10"/>
  <c r="I30" i="10"/>
  <c r="I23" i="10"/>
  <c r="H17" i="10"/>
  <c r="H18" i="10"/>
  <c r="I18" i="10" s="1"/>
  <c r="H19" i="10"/>
  <c r="I19" i="10" s="1"/>
  <c r="H21" i="10"/>
  <c r="I21" i="10" s="1"/>
  <c r="H22" i="10"/>
  <c r="I22" i="10" s="1"/>
  <c r="H23" i="10"/>
  <c r="G24" i="10"/>
  <c r="H24" i="10" s="1"/>
  <c r="I24" i="10" s="1"/>
  <c r="H26" i="10"/>
  <c r="I26" i="10" s="1"/>
  <c r="H27" i="10"/>
  <c r="I27" i="10" s="1"/>
  <c r="H28" i="10"/>
  <c r="I28" i="10" s="1"/>
  <c r="H29" i="10"/>
  <c r="I29" i="10" s="1"/>
  <c r="H30" i="10"/>
  <c r="H31" i="10"/>
  <c r="I31" i="10" s="1"/>
  <c r="H32" i="10"/>
  <c r="H33" i="10"/>
  <c r="I33" i="10" s="1"/>
  <c r="H37" i="10"/>
  <c r="I37" i="10" s="1"/>
  <c r="H39" i="10"/>
  <c r="I39" i="10" s="1"/>
  <c r="H40" i="10"/>
  <c r="I40" i="10" s="1"/>
  <c r="H41" i="10"/>
  <c r="I41" i="10" s="1"/>
  <c r="H42" i="10"/>
  <c r="H44" i="10"/>
  <c r="I44" i="10" s="1"/>
  <c r="H46" i="10"/>
  <c r="I46" i="10" s="1"/>
  <c r="H47" i="10"/>
  <c r="H48" i="10"/>
  <c r="I48" i="10" s="1"/>
  <c r="H49" i="10"/>
  <c r="I49" i="10" s="1"/>
  <c r="H50" i="10"/>
  <c r="I50" i="10" s="1"/>
  <c r="H51" i="10"/>
  <c r="I51" i="10" s="1"/>
  <c r="H52" i="10"/>
  <c r="I52" i="10" s="1"/>
  <c r="H53" i="10"/>
  <c r="I53" i="10" s="1"/>
  <c r="H55" i="10"/>
  <c r="I55" i="10" s="1"/>
  <c r="H56" i="10"/>
  <c r="H57" i="10"/>
  <c r="I57" i="10" s="1"/>
  <c r="H58" i="10"/>
  <c r="I58" i="10" s="1"/>
  <c r="H59" i="10"/>
  <c r="I59" i="10" s="1"/>
  <c r="H61" i="10"/>
  <c r="I61" i="10" s="1"/>
  <c r="I17" i="10"/>
  <c r="I60" i="10" l="1"/>
  <c r="I89" i="8" s="1"/>
  <c r="I20" i="10"/>
  <c r="I24" i="8" s="1"/>
  <c r="I45" i="10"/>
  <c r="I66" i="8" s="1"/>
  <c r="I25" i="10"/>
  <c r="I29" i="8" s="1"/>
  <c r="K29" i="8" s="1"/>
  <c r="I54" i="10"/>
  <c r="I76" i="8" s="1"/>
  <c r="L76" i="8" s="1"/>
  <c r="I16" i="10"/>
  <c r="I17" i="8" s="1"/>
  <c r="I34" i="10"/>
  <c r="I38" i="8" s="1"/>
  <c r="K38" i="8" s="1"/>
  <c r="L66" i="8" l="1"/>
  <c r="J66" i="8"/>
  <c r="K66" i="8"/>
  <c r="K24" i="8"/>
  <c r="J24" i="8"/>
  <c r="J89" i="8"/>
  <c r="K89" i="8"/>
  <c r="I62" i="10"/>
  <c r="J17" i="8" l="1"/>
  <c r="H90" i="8"/>
  <c r="I90" i="8" s="1"/>
  <c r="H88" i="8"/>
  <c r="I88" i="8" s="1"/>
  <c r="H87" i="8"/>
  <c r="I87" i="8" s="1"/>
  <c r="H86" i="8"/>
  <c r="I86" i="8" s="1"/>
  <c r="H85" i="8"/>
  <c r="I85" i="8" s="1"/>
  <c r="H84" i="8"/>
  <c r="I84" i="8" s="1"/>
  <c r="H83" i="8"/>
  <c r="I83" i="8" s="1"/>
  <c r="H82" i="8"/>
  <c r="I82" i="8" s="1"/>
  <c r="H81" i="8"/>
  <c r="I81" i="8" s="1"/>
  <c r="H80" i="8"/>
  <c r="I80" i="8" s="1"/>
  <c r="H79" i="8"/>
  <c r="I79" i="8" s="1"/>
  <c r="H78" i="8"/>
  <c r="I78" i="8" s="1"/>
  <c r="H77" i="8"/>
  <c r="I77" i="8" s="1"/>
  <c r="H75" i="8"/>
  <c r="F75" i="8"/>
  <c r="H74" i="8"/>
  <c r="F74" i="8"/>
  <c r="H73" i="8"/>
  <c r="F73" i="8"/>
  <c r="H72" i="8"/>
  <c r="F72" i="8"/>
  <c r="I72" i="8" s="1"/>
  <c r="H71" i="8"/>
  <c r="H70" i="8"/>
  <c r="F70" i="8"/>
  <c r="F71" i="8" s="1"/>
  <c r="H69" i="8"/>
  <c r="F69" i="8"/>
  <c r="I69" i="8" s="1"/>
  <c r="H68" i="8"/>
  <c r="I68" i="8" s="1"/>
  <c r="F68" i="8"/>
  <c r="G67" i="8"/>
  <c r="H67" i="8" s="1"/>
  <c r="I67" i="8" s="1"/>
  <c r="H65" i="8"/>
  <c r="I65" i="8" s="1"/>
  <c r="H63" i="8"/>
  <c r="F63" i="8"/>
  <c r="H62" i="8"/>
  <c r="F62" i="8"/>
  <c r="H61" i="8"/>
  <c r="F61" i="8"/>
  <c r="I61" i="8" s="1"/>
  <c r="H60" i="8"/>
  <c r="F60" i="8"/>
  <c r="H58" i="8"/>
  <c r="F58" i="8"/>
  <c r="H57" i="8"/>
  <c r="F57" i="8"/>
  <c r="H56" i="8"/>
  <c r="F56" i="8"/>
  <c r="H55" i="8"/>
  <c r="F55" i="8"/>
  <c r="H54" i="8"/>
  <c r="F54" i="8"/>
  <c r="H53" i="8"/>
  <c r="F53" i="8"/>
  <c r="F51" i="8"/>
  <c r="F50" i="8"/>
  <c r="H49" i="8"/>
  <c r="F49" i="8"/>
  <c r="I49" i="8" s="1"/>
  <c r="F48" i="8"/>
  <c r="H46" i="8"/>
  <c r="F46" i="8"/>
  <c r="D46" i="8"/>
  <c r="B46" i="8"/>
  <c r="H45" i="8"/>
  <c r="F45" i="8"/>
  <c r="H44" i="8"/>
  <c r="F44" i="8"/>
  <c r="H43" i="8"/>
  <c r="H42" i="8"/>
  <c r="F42" i="8"/>
  <c r="F43" i="8" s="1"/>
  <c r="H41" i="8"/>
  <c r="F41" i="8"/>
  <c r="H40" i="8"/>
  <c r="F40" i="8"/>
  <c r="H37" i="8"/>
  <c r="F37" i="8"/>
  <c r="H36" i="8"/>
  <c r="F36" i="8"/>
  <c r="H35" i="8"/>
  <c r="F35" i="8"/>
  <c r="H34" i="8"/>
  <c r="F34" i="8"/>
  <c r="H33" i="8"/>
  <c r="F33" i="8"/>
  <c r="H32" i="8"/>
  <c r="H31" i="8"/>
  <c r="F31" i="8"/>
  <c r="F32" i="8" s="1"/>
  <c r="H30" i="8"/>
  <c r="F30" i="8"/>
  <c r="G28" i="8"/>
  <c r="H28" i="8" s="1"/>
  <c r="I28" i="8" s="1"/>
  <c r="F28" i="8"/>
  <c r="H27" i="8"/>
  <c r="F27" i="8"/>
  <c r="H26" i="8"/>
  <c r="F26" i="8"/>
  <c r="I26" i="8" s="1"/>
  <c r="H25" i="8"/>
  <c r="I25" i="8" s="1"/>
  <c r="F25" i="8"/>
  <c r="H23" i="8"/>
  <c r="F23" i="8"/>
  <c r="H22" i="8"/>
  <c r="F22" i="8"/>
  <c r="I22" i="8" s="1"/>
  <c r="H21" i="8"/>
  <c r="F21" i="8"/>
  <c r="I20" i="8"/>
  <c r="H20" i="8"/>
  <c r="H19" i="8"/>
  <c r="I19" i="8" s="1"/>
  <c r="H18" i="8"/>
  <c r="H51" i="8" s="1"/>
  <c r="I51" i="8" s="1"/>
  <c r="I34" i="8" l="1"/>
  <c r="I40" i="8"/>
  <c r="I37" i="8"/>
  <c r="I43" i="8"/>
  <c r="I44" i="8"/>
  <c r="I63" i="8"/>
  <c r="I74" i="8"/>
  <c r="I30" i="8"/>
  <c r="I21" i="8"/>
  <c r="I41" i="8"/>
  <c r="I55" i="8"/>
  <c r="H50" i="8"/>
  <c r="I50" i="8" s="1"/>
  <c r="I75" i="8"/>
  <c r="I45" i="8"/>
  <c r="I60" i="8"/>
  <c r="I18" i="8"/>
  <c r="I27" i="8"/>
  <c r="I36" i="8"/>
  <c r="I23" i="8"/>
  <c r="I33" i="8"/>
  <c r="I53" i="8"/>
  <c r="I57" i="8"/>
  <c r="I73" i="8"/>
  <c r="H48" i="8"/>
  <c r="I48" i="8" s="1"/>
  <c r="I54" i="8"/>
  <c r="I58" i="8"/>
  <c r="I62" i="8"/>
  <c r="J91" i="8"/>
  <c r="I56" i="8"/>
  <c r="I46" i="8"/>
  <c r="I35" i="8"/>
  <c r="I32" i="8"/>
  <c r="I71" i="8"/>
  <c r="I31" i="8"/>
  <c r="I42" i="8"/>
  <c r="L91" i="8" l="1"/>
  <c r="K91" i="8"/>
  <c r="I91" i="8"/>
  <c r="D51" i="3" l="1"/>
  <c r="D50" i="3"/>
  <c r="D49" i="3"/>
  <c r="D13" i="3" l="1"/>
  <c r="B13" i="3"/>
  <c r="D11" i="3"/>
  <c r="B40" i="3" l="1"/>
  <c r="B47" i="3"/>
  <c r="B46" i="3"/>
  <c r="D21" i="3"/>
  <c r="D18" i="3"/>
  <c r="D19" i="3"/>
  <c r="D17" i="3"/>
  <c r="D16" i="3"/>
  <c r="D15" i="3"/>
  <c r="D20" i="3" l="1"/>
  <c r="D44" i="3" l="1"/>
  <c r="D43" i="3"/>
  <c r="D39" i="3"/>
  <c r="D38" i="3"/>
  <c r="D37" i="3"/>
  <c r="D36" i="3"/>
  <c r="D35" i="3"/>
  <c r="D32" i="3"/>
  <c r="D31" i="3"/>
  <c r="D33" i="3" s="1"/>
  <c r="D29" i="3"/>
  <c r="D27" i="3"/>
  <c r="D26" i="3"/>
  <c r="D28" i="3" s="1"/>
  <c r="D25" i="3"/>
  <c r="D24" i="3"/>
  <c r="B29" i="3"/>
  <c r="B22" i="3"/>
  <c r="B14" i="3"/>
  <c r="B12" i="3"/>
  <c r="D10" i="3"/>
  <c r="B11" i="3"/>
  <c r="B10" i="3"/>
  <c r="B9" i="3"/>
  <c r="D8" i="3"/>
  <c r="B8" i="3"/>
  <c r="D7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<sst xmlns="http://schemas.openxmlformats.org/spreadsheetml/2006/main" count="742" uniqueCount="281">
  <si>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</si>
  <si>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</si>
  <si>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</si>
  <si>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</si>
  <si>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</si>
  <si>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</si>
  <si>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</si>
  <si>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</si>
  <si>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</si>
  <si>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</si>
  <si>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</si>
  <si>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</si>
  <si>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</si>
  <si>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</si>
  <si>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</si>
  <si>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</si>
  <si>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</si>
  <si>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</si>
  <si>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</si>
  <si>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</si>
  <si>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</si>
  <si>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Demolição manual de concreto simples</t>
  </si>
  <si>
    <t>03.01.020</t>
  </si>
  <si>
    <t>3.</t>
  </si>
  <si>
    <t>3.1</t>
  </si>
  <si>
    <t>PISOS</t>
  </si>
  <si>
    <t>FDE</t>
  </si>
  <si>
    <t>3.2</t>
  </si>
  <si>
    <t>Emboço comum</t>
  </si>
  <si>
    <t>17.02.120</t>
  </si>
  <si>
    <t>Chapisco</t>
  </si>
  <si>
    <t>Reboco</t>
  </si>
  <si>
    <t>17.02.020</t>
  </si>
  <si>
    <t>17.02.220</t>
  </si>
  <si>
    <t>4.</t>
  </si>
  <si>
    <t>4.1</t>
  </si>
  <si>
    <t>4.2</t>
  </si>
  <si>
    <t>Alvenaria de bloco cerâmico de vedação, uso revestido, de 14 cm</t>
  </si>
  <si>
    <t>14.04.210</t>
  </si>
  <si>
    <t>5.</t>
  </si>
  <si>
    <t>5.1</t>
  </si>
  <si>
    <t>5.2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</si>
  <si>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</si>
  <si>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</si>
  <si>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</si>
  <si>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</si>
  <si>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</si>
  <si>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</si>
  <si>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</si>
  <si>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</si>
  <si>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</si>
  <si>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COBERTURA</t>
  </si>
  <si>
    <t>CDHU VERSÃO 186 NÃO DESONERADO</t>
  </si>
  <si>
    <t>SINAPI ABRIL/2022 NÃO DESONERADO</t>
  </si>
  <si>
    <t>FDE ABRIL/2022 NÃO DESONERADO</t>
  </si>
  <si>
    <t>SIURB JULHO/2021 NÃO DESONERADO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</si>
  <si>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</si>
  <si>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</si>
  <si>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</si>
  <si>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</si>
  <si>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</si>
  <si>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</si>
  <si>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</si>
  <si>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</si>
  <si>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</si>
  <si>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</si>
  <si>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</si>
  <si>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</si>
  <si>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</si>
  <si>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</si>
  <si>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SUPERESTRUTURA</t>
  </si>
  <si>
    <t>33.10.020</t>
  </si>
  <si>
    <t>TOTAL GERAL COM BDI</t>
  </si>
  <si>
    <t>SECRETÁRIO DE OBRAS E PLANEJAMENTO</t>
  </si>
  <si>
    <t>2.</t>
  </si>
  <si>
    <t>7.4</t>
  </si>
  <si>
    <t>7.5</t>
  </si>
  <si>
    <t>7.6</t>
  </si>
  <si>
    <t>6.7</t>
  </si>
  <si>
    <t>6.8</t>
  </si>
  <si>
    <t>6.9</t>
  </si>
  <si>
    <t>REFERÊNCIA</t>
  </si>
  <si>
    <t>3.3</t>
  </si>
  <si>
    <t>7.8</t>
  </si>
  <si>
    <t>7.9</t>
  </si>
  <si>
    <t>7.10</t>
  </si>
  <si>
    <t>7.11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</si>
  <si>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</si>
  <si>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</si>
  <si>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</si>
  <si>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</si>
  <si>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</si>
  <si>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</si>
  <si>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</si>
  <si>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</si>
  <si>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</si>
  <si>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</si>
  <si>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</si>
  <si>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5.3</t>
  </si>
  <si>
    <t>5.4</t>
  </si>
  <si>
    <t>5.5</t>
  </si>
  <si>
    <t>Cumeeira de barro emboçado tipos: plan, romana, italiana, francesa e paulistinha</t>
  </si>
  <si>
    <t>16.02.230</t>
  </si>
  <si>
    <t>concreto * 100</t>
  </si>
  <si>
    <t>Estrutura de madeira tesourada para telha de barro ‐ vãos até 7,00 m</t>
  </si>
  <si>
    <t>Telha de barro tipo romana</t>
  </si>
  <si>
    <t>15.01.010</t>
  </si>
  <si>
    <t>16.02.030</t>
  </si>
  <si>
    <t>Testeira em tábua aparelhada, largura até 20cm</t>
  </si>
  <si>
    <t>22.01.210</t>
  </si>
  <si>
    <t>6.10</t>
  </si>
  <si>
    <t>CRONOGRAMA FÍSICO FINANCEIRO</t>
  </si>
  <si>
    <t>1º MÊS</t>
  </si>
  <si>
    <t>2º MÊS</t>
  </si>
  <si>
    <t>3º MÊS</t>
  </si>
  <si>
    <t>EXECUÇÃO DE PRAÇA NO BAIRRO ALTOS DO TIETÊ</t>
  </si>
  <si>
    <t>LOCAL: RUA VITÓRIO GARDENAL, S/N - ALTOS DO TIETÊ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</si>
  <si>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</si>
  <si>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</si>
  <si>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</si>
  <si>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</si>
  <si>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</si>
  <si>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</si>
  <si>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</si>
  <si>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</si>
  <si>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</si>
  <si>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</si>
  <si>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área total terreno</t>
  </si>
  <si>
    <t>placa 2,00 x 1,50 m</t>
  </si>
  <si>
    <t>movimentação de terra para acerto do terreno                                estimado área terreno/2 * 0,20 m</t>
  </si>
  <si>
    <t>demolição de calçada esxistente 25,00 * 2,80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</si>
  <si>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</si>
  <si>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</si>
  <si>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</si>
  <si>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</si>
  <si>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>detalhes piso em mosaico</t>
  </si>
  <si>
    <t>QUIOSQUE</t>
  </si>
  <si>
    <t>ALVENARIA E REVESTIMENTOS</t>
  </si>
  <si>
    <t xml:space="preserve">Tinta látex em massa, inclusive preparo 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</si>
  <si>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</si>
  <si>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</si>
  <si>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</si>
  <si>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</si>
  <si>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</si>
  <si>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</si>
  <si>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</si>
  <si>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</si>
  <si>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</si>
  <si>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4.3.1</t>
  </si>
  <si>
    <t>4.3.2</t>
  </si>
  <si>
    <t>4.3.3</t>
  </si>
  <si>
    <t>4.3.4</t>
  </si>
  <si>
    <t>4.3.5</t>
  </si>
  <si>
    <t>4.4.1</t>
  </si>
  <si>
    <t>4.4.2</t>
  </si>
  <si>
    <t>4.4.3</t>
  </si>
  <si>
    <t>4.4.4</t>
  </si>
  <si>
    <t>15,00 M * 0,20 M * 0,30 M</t>
  </si>
  <si>
    <t>15,00 M * 0,20 * 0,05</t>
  </si>
  <si>
    <t>15,00 * 0,20* 2</t>
  </si>
  <si>
    <t>cocnreto* 100</t>
  </si>
  <si>
    <t>5 unidades * 3,00 m profund.</t>
  </si>
  <si>
    <t>pilares: 0,25 * 0,25 * 2,80 (h) * 5 unidades</t>
  </si>
  <si>
    <t>(0,25 * 4) * 2,80 * 5</t>
  </si>
  <si>
    <t xml:space="preserve">12,00 m * 0,40 (h) </t>
  </si>
  <si>
    <t>4,80 m2 * 2</t>
  </si>
  <si>
    <t>projeção horizontal da cobertura</t>
  </si>
  <si>
    <t>projeção horizontal + 8%</t>
  </si>
  <si>
    <t>Piso em pedra portuguesa assetado sobre argamassa de cimento e areia, traço 1:3 rejuntado com cimento comum</t>
  </si>
  <si>
    <t>Pilar quadrado não aparelhado 20 X 20 cm em macaranduba, angelim ou equivalente da região - bruta</t>
  </si>
  <si>
    <t>SINAPI INSUMOS</t>
  </si>
  <si>
    <t>Viga não aparelhado 6 X 20 cm em macaranduba, angelim ou equivalente da região - bruta</t>
  </si>
  <si>
    <t>Viga não aparelhado 6 X 16 cm em macaranduba, angelim ou equivalente da região - bruta</t>
  </si>
  <si>
    <t>Recolocação de peças lineares em madeira com seção superior a 60 cm²</t>
  </si>
  <si>
    <t>15.20.060</t>
  </si>
  <si>
    <t>Verniz em superfície de madeira</t>
  </si>
  <si>
    <t>33.05.330</t>
  </si>
  <si>
    <t>3.4</t>
  </si>
  <si>
    <t>3.5</t>
  </si>
  <si>
    <t>3.6</t>
  </si>
  <si>
    <t>3.7</t>
  </si>
  <si>
    <t>4 pilares * 3,50 (h) * 2 pergolados</t>
  </si>
  <si>
    <t>concreto chumbamento dos pilares: 1,00 * 0,50 * 0,50 * 4 unidades * 2 pergolados</t>
  </si>
  <si>
    <t>escavação para chumbamento dos pilares: 1,00 * 0,50 * 0,50 * 4 unidades * 2 pergolados</t>
  </si>
  <si>
    <t>montagem da estrutura do pergolado</t>
  </si>
  <si>
    <t>PERGOLADOS</t>
  </si>
  <si>
    <t>ILUMINAÇÃO</t>
  </si>
  <si>
    <t>13 vigas * 3,50 m * 2 pergolados</t>
  </si>
  <si>
    <t>2 vigas * 2,40 m * 2 pergolados</t>
  </si>
  <si>
    <t>(2,50 * 0,80 * 8) + (0,52 * 2,40 * 2 * 2 ) + (0,44*3,50*13*2)</t>
  </si>
  <si>
    <t>Poste de jardim com luminária</t>
  </si>
  <si>
    <t>COTAÇÃO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</si>
  <si>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</si>
  <si>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</si>
  <si>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</si>
  <si>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</si>
  <si>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</si>
  <si>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</si>
  <si>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</si>
  <si>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</si>
  <si>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</si>
  <si>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</si>
  <si>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</si>
  <si>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</si>
  <si>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</si>
  <si>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 xml:space="preserve">INSTALAÇÃO DE ROTAÇÃO VERTICAL DUPLO, EM TUBO DE AÇO CARBONO - EQUIPAMENTO DE GINÁSTICA PARA ACADEMIA AO AR LIVRE / ACADEMIA DA TERCEIRA IDADE - ATI, INSTALADO SOBRE SOLO. AF_10/2021
</t>
  </si>
  <si>
    <t>INSTALAÇÃO DE SURF DUPLO, EM TUBO DE AÇO CARBONO - EQUIPAMENTO DE GINÁSTICA PARA ACADEMIA AO AR LIVRE / ACADEMIA DA TERCEIRA IDADE - ATI, INSTALADO SOBRE SOLO. AF_10/2021</t>
  </si>
  <si>
    <t>INSTALAÇÃO DE ALONGADOR COM TRÊS ALTURAS, EM TUBO DE AÇO CARBONO - EQUIPAMENTO DE GINASTICA PARA ACADEMIA AO AR LIVRE / ACADEMIA DA TERCEIRA IDADE - ATI, INSTALADO SOBRE SOLO. AF_10/2021</t>
  </si>
  <si>
    <t>INSTALAÇÃO DE PRESSÃO DE PERNAS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</si>
  <si>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</si>
  <si>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6.11</t>
  </si>
  <si>
    <t>6.12</t>
  </si>
  <si>
    <t>PAISAGISMO</t>
  </si>
  <si>
    <t>Plantio de grama esmeralda em placas (jardins e canteiros)</t>
  </si>
  <si>
    <t>34.02.100</t>
  </si>
  <si>
    <t>4.3.6</t>
  </si>
  <si>
    <t>piso interno quiosque</t>
  </si>
  <si>
    <t>área piso concreto e piso mosaico portugues: 1573,33 + 164,12 m2</t>
  </si>
  <si>
    <t>área piso concreto 1573,33 * 0,07</t>
  </si>
  <si>
    <t>GA-01 GUIA LEVE OU SEPARADOR DE PISOS</t>
  </si>
  <si>
    <t>16.02.027</t>
  </si>
  <si>
    <t>separação entre piso mosaico e grama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</si>
  <si>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</si>
  <si>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</si>
  <si>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</si>
  <si>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</si>
  <si>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</si>
  <si>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</si>
  <si>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</si>
  <si>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</si>
  <si>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 xml:space="preserve">ENTRADA DE ENERGIA ELÉTRICA, SUBTERRÂNEA, BIFÁSICA, COM CAIXA DE SOBREPOR, CABO DE 16 MM2 E DISJUNTOR DIN 50A </t>
  </si>
  <si>
    <t>5.6</t>
  </si>
  <si>
    <t>5.7</t>
  </si>
  <si>
    <t>5.8</t>
  </si>
  <si>
    <t>0,50*0,15*138</t>
  </si>
  <si>
    <t>0,15*0,15*138</t>
  </si>
  <si>
    <t>0,35*0,15*138</t>
  </si>
  <si>
    <t>ELÉTRICA</t>
  </si>
  <si>
    <t>41.31.070</t>
  </si>
  <si>
    <t>Luminária LED quadrada de sobrepor com difusor prismático translúcido, 4000 K, fluxo luminoso de 1363 a 1800 lm, potência de 15 W a 24 W</t>
  </si>
  <si>
    <t>4.5.1</t>
  </si>
  <si>
    <t>4.1.7</t>
  </si>
  <si>
    <t>Lançamento e adensamento de concreto ou massa em estrutura</t>
  </si>
  <si>
    <t>11.16.060</t>
  </si>
  <si>
    <t>4.2.4</t>
  </si>
  <si>
    <t>5.9</t>
  </si>
  <si>
    <t>01.20.811</t>
  </si>
  <si>
    <t>Levantamento planialmétrico cadastral com áreas até 50% de ocupação ‐ área até 20.000 m² (mínimo de 4.000 m²)</t>
  </si>
  <si>
    <t>3.8</t>
  </si>
  <si>
    <t>TOTAL</t>
  </si>
  <si>
    <t>QUANTIDADE CALCULADA PELO ENG. MILTON</t>
  </si>
  <si>
    <t>VALOR</t>
  </si>
  <si>
    <t>02.09.040</t>
  </si>
  <si>
    <t>Limpeza mecanizada do terreno, inclusive troncos até 15 cm de diâmetro, com caminhão à disposição dentro e fora da obra, com transporte no raio de até 1 km</t>
  </si>
  <si>
    <t>05.10.010</t>
  </si>
  <si>
    <t>Carregamento mecanizado de solo de 1ª e 2ª categoria</t>
  </si>
  <si>
    <t>05.10.024</t>
  </si>
  <si>
    <t>Transporte de solo de 1ª e 2ª categoria por caminhão para distâncias superiores ao 10° km até o 15° km</t>
  </si>
  <si>
    <t>1.7</t>
  </si>
  <si>
    <t>1.8</t>
  </si>
  <si>
    <t>1.9</t>
  </si>
  <si>
    <t>5.10</t>
  </si>
  <si>
    <t>39.03.178</t>
  </si>
  <si>
    <t>Cabo de cobre de 6 mm², isolamento 0,6/1 kV ‐ isolação em PVC 70°C.</t>
  </si>
  <si>
    <t>FORTLIGHT ILUMINACAO INDUSTRIA LTDA</t>
  </si>
  <si>
    <t>RJE ILUMINAÇÃO</t>
  </si>
  <si>
    <t>VALOR MÉDIO</t>
  </si>
  <si>
    <t>QUADRO RESUMO ORÇAMENTOS</t>
  </si>
  <si>
    <t>EMPRESA</t>
  </si>
  <si>
    <t>ORÇAMENTO</t>
  </si>
  <si>
    <t>INDUSPAR</t>
  </si>
  <si>
    <t>Tietê, 15 de maio de 2044.</t>
  </si>
  <si>
    <t>LUCAS AMADIO POLASTRE</t>
  </si>
  <si>
    <t>CAU: A146657-7</t>
  </si>
  <si>
    <t>CDHU VERSÃO 193 NÃO DESONERADO</t>
  </si>
  <si>
    <t>Tietê, 15 de maio de 2024.</t>
  </si>
  <si>
    <t>Lucas Amadio Polastre</t>
  </si>
  <si>
    <t>Secretário de Obras e Planejamento</t>
  </si>
  <si>
    <t>SINAPI MARÇO/2024 NÃO DESONERADO</t>
  </si>
  <si>
    <t>FDE JANEIRO/2024 NÃO DESONERADO</t>
  </si>
  <si>
    <t>Tietê, 15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</si>
</sst>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3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/>
    <xf numFmtId="0" fontId="12" fillId="3" borderId="11" xfId="0" applyFont="1" applyFill="1" applyBorder="1"/>
    <xf numFmtId="0" fontId="0" fillId="0" borderId="0" xfId="0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2" fontId="0" fillId="0" borderId="5" xfId="0" applyNumberFormat="1" applyBorder="1"/>
    <xf numFmtId="0" fontId="13" fillId="0" borderId="6" xfId="0" applyFont="1" applyFill="1" applyBorder="1" applyAlignment="1">
      <alignment horizontal="center" vertical="center" wrapText="1"/>
    </xf>
    <xf numFmtId="2" fontId="0" fillId="0" borderId="6" xfId="0" applyNumberFormat="1" applyBorder="1"/>
    <xf numFmtId="2" fontId="0" fillId="3" borderId="8" xfId="0" applyNumberForma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4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1" xfId="1" applyFont="1" applyFill="1" applyBorder="1" applyAlignment="1" applyProtection="1">
      <alignment horizontal="left" vertical="center" wrapText="1"/>
      <protection locked="0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0" borderId="5" xfId="0" applyFill="1" applyBorder="1" applyAlignment="1">
      <alignment wrapText="1"/>
    </xf>
    <xf numFmtId="0" fontId="10" fillId="0" borderId="5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5" xfId="0" applyNumberFormat="1" applyFill="1" applyBorder="1"/>
    <xf numFmtId="2" fontId="12" fillId="3" borderId="1" xfId="0" applyNumberFormat="1" applyFon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44" fontId="11" fillId="3" borderId="3" xfId="1" applyFont="1" applyFill="1" applyBorder="1" applyAlignment="1" applyProtection="1">
      <alignment horizontal="left" vertical="center" wrapText="1"/>
      <protection locked="0"/>
    </xf>
    <xf numFmtId="44" fontId="11" fillId="3" borderId="4" xfId="1" applyFont="1" applyFill="1" applyBorder="1" applyAlignment="1" applyProtection="1">
      <alignment horizontal="righ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11" xfId="1" applyFont="1" applyFill="1" applyBorder="1" applyAlignment="1" applyProtection="1">
      <alignment horizontal="left" vertical="center" wrapText="1"/>
      <protection locked="0"/>
    </xf>
    <xf numFmtId="44" fontId="12" fillId="3" borderId="11" xfId="0" applyNumberFormat="1" applyFont="1" applyFill="1" applyBorder="1" applyAlignment="1">
      <alignment vertical="center"/>
    </xf>
    <xf numFmtId="44" fontId="11" fillId="3" borderId="12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44" fontId="12" fillId="3" borderId="8" xfId="0" applyNumberFormat="1" applyFont="1" applyFill="1" applyBorder="1" applyAlignment="1">
      <alignment vertical="center"/>
    </xf>
    <xf numFmtId="44" fontId="11" fillId="3" borderId="9" xfId="1" applyFont="1" applyFill="1" applyBorder="1" applyAlignment="1" applyProtection="1">
      <alignment horizontal="righ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0" borderId="6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4" fontId="0" fillId="0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17" fontId="3" fillId="3" borderId="13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8" xfId="0" applyBorder="1" applyAlignment="1">
      <alignment horizontal="center" vertical="center"/>
    </xf>
    <xf numFmtId="4" fontId="3" fillId="2" borderId="0" xfId="0" applyNumberFormat="1" applyFont="1" applyFill="1" applyAlignment="1" applyProtection="1"/>
    <xf numFmtId="0" fontId="0" fillId="0" borderId="0" xfId="0" applyAlignment="1"/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/>
    <xf numFmtId="0" fontId="0" fillId="3" borderId="5" xfId="0" applyFill="1" applyBorder="1" applyAlignment="1">
      <alignment wrapText="1"/>
    </xf>
    <xf numFmtId="2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44" fontId="0" fillId="0" borderId="0" xfId="0" applyNumberFormat="1" applyAlignment="1">
      <alignment vertical="center"/>
    </xf>
    <xf numFmtId="0" fontId="10" fillId="0" borderId="1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0" fontId="3" fillId="2" borderId="1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44" fontId="12" fillId="3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1" xfId="1" applyFont="1" applyFill="1" applyBorder="1" applyAlignment="1" applyProtection="1">
      <alignment horizontal="left" vertical="center" wrapText="1"/>
      <protection locked="0"/>
    </xf>
    <xf numFmtId="44" fontId="11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12" fillId="0" borderId="1" xfId="0" applyFont="1" applyFill="1" applyBorder="1" applyAlignment="1">
      <alignment vertical="center"/>
    </xf>
    <xf numFmtId="44" fontId="12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44" fontId="0" fillId="0" borderId="1" xfId="0" applyNumberFormat="1" applyBorder="1"/>
    <xf numFmtId="0" fontId="12" fillId="3" borderId="8" xfId="0" applyFont="1" applyFill="1" applyBorder="1" applyAlignment="1">
      <alignment vertical="center" wrapText="1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/>
    <xf numFmtId="0" fontId="0" fillId="4" borderId="0" xfId="0" applyFill="1" applyAlignment="1">
      <alignment wrapText="1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13" fillId="4" borderId="8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1" xfId="0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9" fillId="3" borderId="7" xfId="0" applyFont="1" applyFill="1" applyBorder="1" applyAlignment="1" applyProtection="1">
      <alignment horizontal="center" vertical="center" wrapText="1"/>
    </xf>
    <xf numFmtId="2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vertical="center" wrapText="1"/>
    </xf>
    <xf numFmtId="44" fontId="11" fillId="3" borderId="16" xfId="1" applyFont="1" applyFill="1" applyBorder="1" applyAlignment="1" applyProtection="1">
      <alignment horizontal="left" vertical="center" wrapText="1"/>
      <protection locked="0"/>
    </xf>
    <xf numFmtId="44" fontId="0" fillId="0" borderId="9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4" fontId="16" fillId="0" borderId="9" xfId="1" applyFont="1" applyFill="1" applyBorder="1" applyAlignment="1" applyProtection="1">
      <alignment horizontal="left" vertical="center" wrapText="1"/>
      <protection locked="0"/>
    </xf>
    <xf numFmtId="44" fontId="17" fillId="0" borderId="1" xfId="0" applyNumberFormat="1" applyFont="1" applyFill="1" applyBorder="1" applyAlignment="1">
      <alignment vertical="center"/>
    </xf>
    <xf numFmtId="44" fontId="16" fillId="0" borderId="1" xfId="1" applyFont="1" applyFill="1" applyBorder="1" applyAlignment="1" applyProtection="1">
      <alignment horizontal="right" vertical="center" wrapText="1"/>
      <protection locked="0"/>
    </xf>
    <xf numFmtId="0" fontId="17" fillId="0" borderId="1" xfId="0" applyFont="1" applyFill="1" applyBorder="1"/>
    <xf numFmtId="44" fontId="0" fillId="0" borderId="9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44" fontId="0" fillId="0" borderId="12" xfId="0" applyNumberFormat="1" applyFont="1" applyFill="1" applyBorder="1" applyAlignment="1">
      <alignment vertical="center"/>
    </xf>
    <xf numFmtId="44" fontId="0" fillId="0" borderId="9" xfId="0" applyNumberFormat="1" applyFont="1" applyFill="1" applyBorder="1" applyAlignment="1">
      <alignment vertical="center"/>
    </xf>
    <xf numFmtId="0" fontId="0" fillId="0" borderId="0" xfId="0" applyFill="1"/>
    <xf numFmtId="0" fontId="0" fillId="0" borderId="5" xfId="0" applyFill="1" applyBorder="1" applyAlignment="1">
      <alignment horizontal="center" vertical="center" wrapText="1"/>
    </xf>
    <xf numFmtId="44" fontId="10" fillId="0" borderId="12" xfId="1" applyFont="1" applyFill="1" applyBorder="1" applyAlignment="1" applyProtection="1">
      <alignment horizontal="left" vertical="center" wrapText="1"/>
      <protection locked="0"/>
    </xf>
    <xf numFmtId="44" fontId="10" fillId="0" borderId="9" xfId="1" applyFont="1" applyFill="1" applyBorder="1" applyAlignment="1" applyProtection="1">
      <alignment horizontal="left" vertical="center" wrapText="1"/>
      <protection locked="0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4" fontId="0" fillId="0" borderId="0" xfId="0" applyNumberFormat="1" applyFill="1" applyAlignment="1">
      <alignment vertical="center"/>
    </xf>
    <xf numFmtId="2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/>
    </xf>
    <xf numFmtId="0" fontId="3" fillId="3" borderId="7" xfId="0" applyNumberFormat="1" applyFont="1" applyFill="1" applyBorder="1" applyAlignment="1" applyProtection="1">
      <alignment vertical="center"/>
    </xf>
    <xf numFmtId="1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vertical="center"/>
    </xf>
    <xf numFmtId="17" fontId="3" fillId="3" borderId="7" xfId="0" applyNumberFormat="1" applyFont="1" applyFill="1" applyBorder="1" applyAlignment="1" applyProtection="1">
      <alignment vertical="center"/>
    </xf>
    <xf numFmtId="44" fontId="0" fillId="0" borderId="0" xfId="0" applyNumberFormat="1"/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2" fontId="0" fillId="0" borderId="6" xfId="0" applyNumberFormat="1" applyFont="1" applyFill="1" applyBorder="1" applyAlignment="1">
      <alignment horizontal="center" vertical="center"/>
    </xf>
    <xf numFmtId="44" fontId="0" fillId="0" borderId="14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/>
    <xf numFmtId="4" fontId="4" fillId="3" borderId="7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0" fontId="15" fillId="2" borderId="0" xfId="0" applyFont="1" applyFill="1" applyAlignment="1" applyProtection="1">
      <alignment horizontal="left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209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61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61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61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61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536864</xdr:colOff>
      <xdr:row>0</xdr:row>
      <xdr:rowOff>51954</xdr:rowOff>
    </xdr:from>
    <xdr:to>
      <xdr:col>8</xdr:col>
      <xdr:colOff>225137</xdr:colOff>
      <xdr:row>7</xdr:row>
      <xdr:rowOff>178279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64" y="51954"/>
          <a:ext cx="8572500" cy="161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1123950</xdr:colOff>
      <xdr:row>5</xdr:row>
      <xdr:rowOff>11529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114925" cy="964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155863</xdr:colOff>
      <xdr:row>16</xdr:row>
      <xdr:rowOff>86591</xdr:rowOff>
    </xdr:from>
    <xdr:to>
      <xdr:col>9</xdr:col>
      <xdr:colOff>900545</xdr:colOff>
      <xdr:row>16</xdr:row>
      <xdr:rowOff>86591</xdr:rowOff>
    </xdr:to>
    <xdr:cxnSp macro="">
      <xdr:nvCxnSpPr>
        <xdr:cNvPr id="8" name="Conector reto 7"/>
        <xdr:cNvCxnSpPr/>
      </xdr:nvCxnSpPr>
      <xdr:spPr>
        <a:xfrm>
          <a:off x="4684568" y="3688773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152399</xdr:colOff>
      <xdr:row>23</xdr:row>
      <xdr:rowOff>83129</xdr:rowOff>
    </xdr:from>
    <xdr:to>
      <xdr:col>10</xdr:col>
      <xdr:colOff>883227</xdr:colOff>
      <xdr:row>23</xdr:row>
      <xdr:rowOff>86591</xdr:rowOff>
    </xdr:to>
    <xdr:cxnSp macro="">
      <xdr:nvCxnSpPr>
        <xdr:cNvPr id="10" name="Conector reto 9"/>
        <xdr:cNvCxnSpPr/>
      </xdr:nvCxnSpPr>
      <xdr:spPr>
        <a:xfrm>
          <a:off x="4681104" y="4023015"/>
          <a:ext cx="1735282" cy="346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195696</xdr:colOff>
      <xdr:row>28</xdr:row>
      <xdr:rowOff>109105</xdr:rowOff>
    </xdr:from>
    <xdr:to>
      <xdr:col>10</xdr:col>
      <xdr:colOff>940378</xdr:colOff>
      <xdr:row>28</xdr:row>
      <xdr:rowOff>109105</xdr:rowOff>
    </xdr:to>
    <xdr:cxnSp macro="">
      <xdr:nvCxnSpPr>
        <xdr:cNvPr id="13" name="Conector reto 12"/>
        <xdr:cNvCxnSpPr/>
      </xdr:nvCxnSpPr>
      <xdr:spPr>
        <a:xfrm>
          <a:off x="5728855" y="4421332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103909</xdr:colOff>
      <xdr:row>65</xdr:row>
      <xdr:rowOff>95251</xdr:rowOff>
    </xdr:from>
    <xdr:to>
      <xdr:col>11</xdr:col>
      <xdr:colOff>857250</xdr:colOff>
      <xdr:row>65</xdr:row>
      <xdr:rowOff>112568</xdr:rowOff>
    </xdr:to>
    <xdr:cxnSp macro="">
      <xdr:nvCxnSpPr>
        <xdr:cNvPr id="14" name="Conector reto 13"/>
        <xdr:cNvCxnSpPr/>
      </xdr:nvCxnSpPr>
      <xdr:spPr>
        <a:xfrm flipV="1">
          <a:off x="4632614" y="5152160"/>
          <a:ext cx="2779568" cy="17317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157596</xdr:colOff>
      <xdr:row>37</xdr:row>
      <xdr:rowOff>140278</xdr:rowOff>
    </xdr:from>
    <xdr:to>
      <xdr:col>10</xdr:col>
      <xdr:colOff>902278</xdr:colOff>
      <xdr:row>37</xdr:row>
      <xdr:rowOff>140278</xdr:rowOff>
    </xdr:to>
    <xdr:cxnSp macro="">
      <xdr:nvCxnSpPr>
        <xdr:cNvPr id="15" name="Conector reto 14"/>
        <xdr:cNvCxnSpPr/>
      </xdr:nvCxnSpPr>
      <xdr:spPr>
        <a:xfrm>
          <a:off x="5690755" y="4824846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157596</xdr:colOff>
      <xdr:row>75</xdr:row>
      <xdr:rowOff>122959</xdr:rowOff>
    </xdr:from>
    <xdr:to>
      <xdr:col>11</xdr:col>
      <xdr:colOff>902278</xdr:colOff>
      <xdr:row>75</xdr:row>
      <xdr:rowOff>122959</xdr:rowOff>
    </xdr:to>
    <xdr:cxnSp macro="">
      <xdr:nvCxnSpPr>
        <xdr:cNvPr id="20" name="Conector reto 19"/>
        <xdr:cNvCxnSpPr/>
      </xdr:nvCxnSpPr>
      <xdr:spPr>
        <a:xfrm>
          <a:off x="6712528" y="5526232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145473</xdr:colOff>
      <xdr:row>88</xdr:row>
      <xdr:rowOff>110836</xdr:rowOff>
    </xdr:from>
    <xdr:to>
      <xdr:col>10</xdr:col>
      <xdr:colOff>926522</xdr:colOff>
      <xdr:row>88</xdr:row>
      <xdr:rowOff>112568</xdr:rowOff>
    </xdr:to>
    <xdr:cxnSp macro="">
      <xdr:nvCxnSpPr>
        <xdr:cNvPr id="21" name="Conector reto 20"/>
        <xdr:cNvCxnSpPr/>
      </xdr:nvCxnSpPr>
      <xdr:spPr>
        <a:xfrm>
          <a:off x="4674178" y="5912427"/>
          <a:ext cx="1785503" cy="173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612218</xdr:colOff>
      <xdr:row>6</xdr:row>
      <xdr:rowOff>51954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7150" cy="13508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6-%20CONV&#202;NIOS\TABELAS%20DE%20PRE&#199;O\CPOS\CPOS%20181\COM%20DESONERA&#199;&#195;O\servicoscd_18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ila.claudio/Desktop/PRA&#199;AS/PLANILHA%20RESUMO%20PRA&#199;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quadro resumo orçamentos"/>
    </sheetNames>
    <sheetDataSet>
      <sheetData sheetId="0" refreshError="1"/>
      <sheetData sheetId="1">
        <row r="7">
          <cell r="D7">
            <v>1366.7433333333331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75"/>
  <sheetViews>
    <sheetView showGridLines="0" tabSelected="1" topLeftCell="A52" zoomScale="110" zoomScaleNormal="110" workbookViewId="0">
      <selection activeCell="I34" sqref="I34"/>
    </sheetView>
  </sheetViews>
  <sheetFormatPr defaultRowHeight="15" x14ac:dyDescent="0.25"/>
  <cols>
    <col min="1" max="1" width="9.140625" style="174"/>
    <col min="2" max="2" width="10.85546875" style="174" bestFit="1" customWidth="1"/>
    <col min="3" max="3" width="10.85546875" style="174" customWidth="1"/>
    <col min="4" max="4" width="54.85546875" style="13" customWidth="1"/>
    <col min="5" max="5" width="9.140625" style="13"/>
    <col min="6" max="6" width="9.140625" style="174"/>
    <col min="7" max="7" width="14.5703125" style="13" customWidth="1"/>
    <col min="8" max="8" width="14.85546875" style="13" customWidth="1"/>
    <col min="9" max="9" width="17.28515625" style="13" customWidth="1"/>
    <col min="10" max="10" width="17.140625" customWidth="1"/>
  </cols>
  <sheetData>
    <row r="5" spans="1:9" ht="27" customHeight="1" x14ac:dyDescent="0.25">
      <c r="A5" s="201"/>
      <c r="B5" s="90"/>
      <c r="C5" s="90"/>
      <c r="D5" s="104"/>
      <c r="E5" s="105"/>
      <c r="F5" s="90"/>
      <c r="G5" s="225"/>
      <c r="H5" s="106"/>
      <c r="I5" s="107"/>
    </row>
    <row r="6" spans="1:9" x14ac:dyDescent="0.25">
      <c r="A6" s="201"/>
      <c r="B6" s="90"/>
      <c r="C6" s="90"/>
      <c r="D6" s="104"/>
      <c r="E6" s="105"/>
      <c r="F6" s="90"/>
      <c r="G6" s="225"/>
      <c r="H6" s="106"/>
      <c r="I6" s="108"/>
    </row>
    <row r="7" spans="1:9" x14ac:dyDescent="0.25">
      <c r="A7" s="201"/>
      <c r="B7" s="90"/>
      <c r="C7" s="90"/>
      <c r="D7" s="104"/>
      <c r="E7" s="105"/>
      <c r="F7" s="90"/>
      <c r="G7" s="225"/>
      <c r="H7" s="109"/>
      <c r="I7" s="110"/>
    </row>
    <row r="8" spans="1:9" s="128" customFormat="1" ht="41.25" customHeight="1" x14ac:dyDescent="0.25">
      <c r="A8" s="226" t="s">
        <v>87</v>
      </c>
      <c r="B8" s="226"/>
      <c r="C8" s="226"/>
      <c r="D8" s="226"/>
      <c r="E8" s="226"/>
      <c r="F8" s="226"/>
      <c r="G8" s="226"/>
      <c r="H8" s="226"/>
      <c r="I8" s="226"/>
    </row>
    <row r="9" spans="1:9" s="128" customFormat="1" ht="15.75" x14ac:dyDescent="0.25">
      <c r="A9" s="111" t="s">
        <v>115</v>
      </c>
      <c r="B9" s="111"/>
      <c r="C9" s="111"/>
      <c r="D9" s="112"/>
      <c r="E9" s="111"/>
      <c r="F9" s="111"/>
      <c r="G9" s="227" t="s">
        <v>56</v>
      </c>
      <c r="H9" s="208" t="s">
        <v>274</v>
      </c>
      <c r="I9" s="115"/>
    </row>
    <row r="10" spans="1:9" s="128" customFormat="1" x14ac:dyDescent="0.25">
      <c r="A10" s="116" t="s">
        <v>116</v>
      </c>
      <c r="B10" s="209"/>
      <c r="C10" s="105"/>
      <c r="D10" s="117"/>
      <c r="E10" s="117"/>
      <c r="F10" s="210"/>
      <c r="G10" s="227"/>
      <c r="H10" s="211" t="s">
        <v>278</v>
      </c>
      <c r="I10" s="115"/>
    </row>
    <row r="11" spans="1:9" x14ac:dyDescent="0.25">
      <c r="A11" s="202"/>
      <c r="B11" s="92"/>
      <c r="C11" s="90"/>
      <c r="D11" s="117"/>
      <c r="E11" s="117"/>
      <c r="F11" s="118"/>
      <c r="G11" s="227"/>
      <c r="H11" s="119" t="s">
        <v>279</v>
      </c>
      <c r="I11" s="115"/>
    </row>
    <row r="12" spans="1:9" x14ac:dyDescent="0.25">
      <c r="A12" s="90"/>
      <c r="B12" s="90"/>
      <c r="C12" s="90"/>
      <c r="D12" s="105"/>
      <c r="E12" s="105"/>
      <c r="F12" s="121"/>
      <c r="G12" s="122" t="s">
        <v>1</v>
      </c>
      <c r="H12" s="123">
        <v>0.22470000000000001</v>
      </c>
      <c r="I12" s="105"/>
    </row>
    <row r="13" spans="1:9" x14ac:dyDescent="0.25">
      <c r="A13" s="90"/>
      <c r="B13" s="90"/>
      <c r="C13" s="90"/>
      <c r="D13" s="105"/>
      <c r="E13" s="105"/>
      <c r="F13" s="121"/>
      <c r="G13" s="122" t="s">
        <v>0</v>
      </c>
      <c r="H13" s="124">
        <v>45413</v>
      </c>
      <c r="I13" s="105"/>
    </row>
    <row r="15" spans="1:9" x14ac:dyDescent="0.25">
      <c r="A15" s="94" t="s">
        <v>2</v>
      </c>
      <c r="B15" s="94" t="s">
        <v>3</v>
      </c>
      <c r="C15" s="94" t="s">
        <v>81</v>
      </c>
      <c r="D15" s="125" t="s">
        <v>4</v>
      </c>
      <c r="E15" s="125" t="s">
        <v>5</v>
      </c>
      <c r="F15" s="176" t="s">
        <v>6</v>
      </c>
      <c r="G15" s="178" t="s">
        <v>7</v>
      </c>
      <c r="H15" s="125" t="s">
        <v>8</v>
      </c>
      <c r="I15" s="125" t="s">
        <v>9</v>
      </c>
    </row>
    <row r="16" spans="1:9" ht="26.25" customHeight="1" x14ac:dyDescent="0.25">
      <c r="A16" s="203" t="s">
        <v>89</v>
      </c>
      <c r="B16" s="65"/>
      <c r="C16" s="65"/>
      <c r="D16" s="66" t="s">
        <v>117</v>
      </c>
      <c r="E16" s="65"/>
      <c r="F16" s="177"/>
      <c r="G16" s="179"/>
      <c r="H16" s="67"/>
      <c r="I16" s="68">
        <f>SUM(I17:I19)</f>
        <v>791.11505007999995</v>
      </c>
    </row>
    <row r="17" spans="1:10" ht="45" x14ac:dyDescent="0.25">
      <c r="A17" s="204" t="s">
        <v>258</v>
      </c>
      <c r="B17" s="182" t="s">
        <v>252</v>
      </c>
      <c r="C17" s="182" t="s">
        <v>10</v>
      </c>
      <c r="D17" s="183" t="s">
        <v>253</v>
      </c>
      <c r="E17" s="184" t="s">
        <v>19</v>
      </c>
      <c r="F17" s="200">
        <v>82.57</v>
      </c>
      <c r="G17" s="185">
        <v>4.3600000000000003</v>
      </c>
      <c r="H17" s="186">
        <f>G17*(1+$H$12)</f>
        <v>5.3396920000000003</v>
      </c>
      <c r="I17" s="187">
        <f>H17*F17</f>
        <v>440.89836844000001</v>
      </c>
    </row>
    <row r="18" spans="1:10" x14ac:dyDescent="0.25">
      <c r="A18" s="204" t="s">
        <v>259</v>
      </c>
      <c r="B18" s="182" t="s">
        <v>254</v>
      </c>
      <c r="C18" s="182" t="s">
        <v>10</v>
      </c>
      <c r="D18" s="188" t="s">
        <v>255</v>
      </c>
      <c r="E18" s="184" t="s">
        <v>20</v>
      </c>
      <c r="F18" s="200">
        <v>8.26</v>
      </c>
      <c r="G18" s="185">
        <v>6.05</v>
      </c>
      <c r="H18" s="186">
        <f t="shared" ref="H18:H19" si="0">G18*(1+$H$12)</f>
        <v>7.4094349999999993</v>
      </c>
      <c r="I18" s="187">
        <f t="shared" ref="I18:I19" si="1">H18*F18</f>
        <v>61.201933099999991</v>
      </c>
    </row>
    <row r="19" spans="1:10" ht="30" x14ac:dyDescent="0.25">
      <c r="A19" s="204" t="s">
        <v>260</v>
      </c>
      <c r="B19" s="182" t="s">
        <v>256</v>
      </c>
      <c r="C19" s="182" t="s">
        <v>10</v>
      </c>
      <c r="D19" s="183" t="s">
        <v>257</v>
      </c>
      <c r="E19" s="184" t="s">
        <v>20</v>
      </c>
      <c r="F19" s="200">
        <v>8.26</v>
      </c>
      <c r="G19" s="185">
        <v>28.57</v>
      </c>
      <c r="H19" s="186">
        <f t="shared" si="0"/>
        <v>34.989678999999995</v>
      </c>
      <c r="I19" s="187">
        <f t="shared" si="1"/>
        <v>289.01474853999997</v>
      </c>
    </row>
    <row r="20" spans="1:10" ht="29.25" customHeight="1" x14ac:dyDescent="0.25">
      <c r="A20" s="205" t="s">
        <v>74</v>
      </c>
      <c r="B20" s="70"/>
      <c r="C20" s="70"/>
      <c r="D20" s="71" t="s">
        <v>25</v>
      </c>
      <c r="E20" s="72"/>
      <c r="F20" s="73"/>
      <c r="G20" s="74"/>
      <c r="H20" s="75"/>
      <c r="I20" s="76">
        <f>SUM(I21:I24)</f>
        <v>46411.83620179999</v>
      </c>
    </row>
    <row r="21" spans="1:10" ht="30" x14ac:dyDescent="0.25">
      <c r="A21" s="47" t="s">
        <v>15</v>
      </c>
      <c r="B21" s="34" t="s">
        <v>132</v>
      </c>
      <c r="C21" s="47" t="s">
        <v>10</v>
      </c>
      <c r="D21" s="155" t="s">
        <v>131</v>
      </c>
      <c r="E21" s="23" t="s">
        <v>19</v>
      </c>
      <c r="F21" s="156">
        <v>82.57</v>
      </c>
      <c r="G21" s="189">
        <v>3.66</v>
      </c>
      <c r="H21" s="186">
        <f t="shared" ref="H21:H24" si="2">G21*(1+$H$12)</f>
        <v>4.4824019999999996</v>
      </c>
      <c r="I21" s="187">
        <f t="shared" ref="I21:I24" si="3">H21*F21</f>
        <v>370.11193313999991</v>
      </c>
    </row>
    <row r="22" spans="1:10" ht="30" x14ac:dyDescent="0.25">
      <c r="A22" s="47" t="s">
        <v>16</v>
      </c>
      <c r="B22" s="34">
        <v>94991</v>
      </c>
      <c r="C22" s="47" t="s">
        <v>134</v>
      </c>
      <c r="D22" s="155" t="s">
        <v>133</v>
      </c>
      <c r="E22" s="23" t="s">
        <v>20</v>
      </c>
      <c r="F22" s="156">
        <v>5.78</v>
      </c>
      <c r="G22" s="189">
        <v>660.75</v>
      </c>
      <c r="H22" s="186">
        <f t="shared" si="2"/>
        <v>809.22052499999995</v>
      </c>
      <c r="I22" s="187">
        <f t="shared" si="3"/>
        <v>4677.2946345</v>
      </c>
      <c r="J22" s="59"/>
    </row>
    <row r="23" spans="1:10" ht="30" x14ac:dyDescent="0.25">
      <c r="A23" s="190" t="s">
        <v>17</v>
      </c>
      <c r="B23" s="137">
        <v>101090</v>
      </c>
      <c r="C23" s="190" t="s">
        <v>134</v>
      </c>
      <c r="D23" s="138" t="s">
        <v>168</v>
      </c>
      <c r="E23" s="27" t="s">
        <v>19</v>
      </c>
      <c r="F23" s="156">
        <v>146.84</v>
      </c>
      <c r="G23" s="191">
        <v>213.14</v>
      </c>
      <c r="H23" s="186">
        <f t="shared" si="2"/>
        <v>261.03255799999994</v>
      </c>
      <c r="I23" s="187">
        <f t="shared" si="3"/>
        <v>38330.020816719989</v>
      </c>
    </row>
    <row r="24" spans="1:10" ht="15.75" customHeight="1" x14ac:dyDescent="0.25">
      <c r="A24" s="47" t="s">
        <v>18</v>
      </c>
      <c r="B24" s="36" t="s">
        <v>220</v>
      </c>
      <c r="C24" s="47" t="s">
        <v>26</v>
      </c>
      <c r="D24" s="152" t="s">
        <v>219</v>
      </c>
      <c r="E24" s="23" t="s">
        <v>11</v>
      </c>
      <c r="F24" s="156">
        <v>56</v>
      </c>
      <c r="G24" s="192">
        <f>57.46*(1-0.23)</f>
        <v>44.244199999999999</v>
      </c>
      <c r="H24" s="186">
        <f t="shared" si="2"/>
        <v>54.185871739999996</v>
      </c>
      <c r="I24" s="187">
        <f t="shared" si="3"/>
        <v>3034.4088174399999</v>
      </c>
    </row>
    <row r="25" spans="1:10" ht="29.25" customHeight="1" x14ac:dyDescent="0.25">
      <c r="A25" s="205" t="s">
        <v>23</v>
      </c>
      <c r="B25" s="70"/>
      <c r="C25" s="70"/>
      <c r="D25" s="71" t="s">
        <v>185</v>
      </c>
      <c r="E25" s="72"/>
      <c r="F25" s="73"/>
      <c r="G25" s="74"/>
      <c r="H25" s="75"/>
      <c r="I25" s="76">
        <f>SUM(I26:I33)</f>
        <v>19883.936251759998</v>
      </c>
    </row>
    <row r="26" spans="1:10" ht="28.5" customHeight="1" x14ac:dyDescent="0.25">
      <c r="A26" s="47" t="s">
        <v>24</v>
      </c>
      <c r="B26" s="34" t="s">
        <v>64</v>
      </c>
      <c r="C26" s="47" t="s">
        <v>10</v>
      </c>
      <c r="D26" s="33" t="s">
        <v>58</v>
      </c>
      <c r="E26" s="23" t="s">
        <v>20</v>
      </c>
      <c r="F26" s="139">
        <v>2</v>
      </c>
      <c r="G26" s="180">
        <v>61.08</v>
      </c>
      <c r="H26" s="186">
        <f t="shared" ref="H26:H33" si="4">G26*(1+$H$12)</f>
        <v>74.804675999999986</v>
      </c>
      <c r="I26" s="187">
        <f t="shared" ref="I26:I33" si="5">H26*F26</f>
        <v>149.60935199999997</v>
      </c>
    </row>
    <row r="27" spans="1:10" ht="17.25" customHeight="1" x14ac:dyDescent="0.25">
      <c r="A27" s="190" t="s">
        <v>27</v>
      </c>
      <c r="B27" s="23" t="s">
        <v>66</v>
      </c>
      <c r="C27" s="47" t="s">
        <v>10</v>
      </c>
      <c r="D27" s="22" t="s">
        <v>60</v>
      </c>
      <c r="E27" s="23" t="s">
        <v>20</v>
      </c>
      <c r="F27" s="139">
        <v>2</v>
      </c>
      <c r="G27" s="180">
        <v>475.24</v>
      </c>
      <c r="H27" s="186">
        <f t="shared" si="4"/>
        <v>582.02642800000001</v>
      </c>
      <c r="I27" s="187">
        <f t="shared" si="5"/>
        <v>1164.052856</v>
      </c>
    </row>
    <row r="28" spans="1:10" ht="17.25" customHeight="1" x14ac:dyDescent="0.25">
      <c r="A28" s="190" t="s">
        <v>82</v>
      </c>
      <c r="B28" s="34" t="s">
        <v>67</v>
      </c>
      <c r="C28" s="47" t="s">
        <v>10</v>
      </c>
      <c r="D28" s="193" t="s">
        <v>61</v>
      </c>
      <c r="E28" s="23" t="s">
        <v>20</v>
      </c>
      <c r="F28" s="139">
        <v>2</v>
      </c>
      <c r="G28" s="180">
        <v>171.74</v>
      </c>
      <c r="H28" s="186">
        <f t="shared" si="4"/>
        <v>210.32997799999998</v>
      </c>
      <c r="I28" s="187">
        <f t="shared" si="5"/>
        <v>420.65995599999997</v>
      </c>
    </row>
    <row r="29" spans="1:10" ht="29.25" customHeight="1" x14ac:dyDescent="0.25">
      <c r="A29" s="47" t="s">
        <v>177</v>
      </c>
      <c r="B29" s="34">
        <v>35276</v>
      </c>
      <c r="C29" s="194" t="s">
        <v>170</v>
      </c>
      <c r="D29" s="51" t="s">
        <v>169</v>
      </c>
      <c r="E29" s="190" t="s">
        <v>11</v>
      </c>
      <c r="F29" s="48">
        <v>28</v>
      </c>
      <c r="G29" s="195">
        <v>227.71</v>
      </c>
      <c r="H29" s="186">
        <f t="shared" si="4"/>
        <v>278.87643700000001</v>
      </c>
      <c r="I29" s="187">
        <f t="shared" si="5"/>
        <v>7808.5402360000007</v>
      </c>
    </row>
    <row r="30" spans="1:10" ht="30" x14ac:dyDescent="0.25">
      <c r="A30" s="190" t="s">
        <v>178</v>
      </c>
      <c r="B30" s="34">
        <v>35272</v>
      </c>
      <c r="C30" s="194" t="s">
        <v>170</v>
      </c>
      <c r="D30" s="51" t="s">
        <v>171</v>
      </c>
      <c r="E30" s="47" t="s">
        <v>11</v>
      </c>
      <c r="F30" s="48">
        <v>9.6</v>
      </c>
      <c r="G30" s="196">
        <v>61.87</v>
      </c>
      <c r="H30" s="186">
        <f t="shared" si="4"/>
        <v>75.772188999999997</v>
      </c>
      <c r="I30" s="187">
        <f t="shared" si="5"/>
        <v>727.41301439999995</v>
      </c>
    </row>
    <row r="31" spans="1:10" ht="30" x14ac:dyDescent="0.25">
      <c r="A31" s="47" t="s">
        <v>179</v>
      </c>
      <c r="B31" s="137">
        <v>4472</v>
      </c>
      <c r="C31" s="194" t="s">
        <v>170</v>
      </c>
      <c r="D31" s="51" t="s">
        <v>172</v>
      </c>
      <c r="E31" s="190" t="s">
        <v>11</v>
      </c>
      <c r="F31" s="48">
        <v>91</v>
      </c>
      <c r="G31" s="195">
        <v>42.8</v>
      </c>
      <c r="H31" s="186">
        <f t="shared" si="4"/>
        <v>52.417159999999996</v>
      </c>
      <c r="I31" s="187">
        <f t="shared" si="5"/>
        <v>4769.9615599999997</v>
      </c>
    </row>
    <row r="32" spans="1:10" ht="30" x14ac:dyDescent="0.25">
      <c r="A32" s="47" t="s">
        <v>180</v>
      </c>
      <c r="B32" s="34" t="s">
        <v>174</v>
      </c>
      <c r="C32" s="197" t="s">
        <v>10</v>
      </c>
      <c r="D32" s="51" t="s">
        <v>173</v>
      </c>
      <c r="E32" s="190" t="s">
        <v>11</v>
      </c>
      <c r="F32" s="48">
        <v>128.6</v>
      </c>
      <c r="G32" s="195">
        <v>16.98</v>
      </c>
      <c r="H32" s="186">
        <f t="shared" si="4"/>
        <v>20.795406</v>
      </c>
      <c r="I32" s="187">
        <f t="shared" si="5"/>
        <v>2674.2892115999998</v>
      </c>
    </row>
    <row r="33" spans="1:9" x14ac:dyDescent="0.25">
      <c r="A33" s="47" t="s">
        <v>248</v>
      </c>
      <c r="B33" s="193" t="s">
        <v>176</v>
      </c>
      <c r="C33" s="197" t="s">
        <v>10</v>
      </c>
      <c r="D33" s="193" t="s">
        <v>175</v>
      </c>
      <c r="E33" s="190" t="s">
        <v>11</v>
      </c>
      <c r="F33" s="48">
        <v>61.04</v>
      </c>
      <c r="G33" s="195">
        <v>29.02</v>
      </c>
      <c r="H33" s="186">
        <f t="shared" si="4"/>
        <v>35.540793999999998</v>
      </c>
      <c r="I33" s="187">
        <f t="shared" si="5"/>
        <v>2169.4100657599997</v>
      </c>
    </row>
    <row r="34" spans="1:9" ht="29.25" customHeight="1" x14ac:dyDescent="0.25">
      <c r="A34" s="206" t="s">
        <v>34</v>
      </c>
      <c r="B34" s="78"/>
      <c r="C34" s="78"/>
      <c r="D34" s="79" t="s">
        <v>136</v>
      </c>
      <c r="E34" s="80"/>
      <c r="F34" s="81"/>
      <c r="G34" s="82"/>
      <c r="H34" s="83"/>
      <c r="I34" s="84">
        <f>SUM(I35:I44)</f>
        <v>19381.880896709998</v>
      </c>
    </row>
    <row r="35" spans="1:9" x14ac:dyDescent="0.25">
      <c r="A35" s="206" t="s">
        <v>88</v>
      </c>
      <c r="B35" s="78"/>
      <c r="C35" s="78"/>
      <c r="D35" s="79" t="s">
        <v>137</v>
      </c>
      <c r="E35" s="80"/>
      <c r="F35" s="81"/>
      <c r="G35" s="82"/>
      <c r="H35" s="83"/>
      <c r="I35" s="84"/>
    </row>
    <row r="36" spans="1:9" x14ac:dyDescent="0.25">
      <c r="A36" s="47" t="s">
        <v>215</v>
      </c>
      <c r="B36" s="23" t="s">
        <v>71</v>
      </c>
      <c r="C36" s="35" t="s">
        <v>10</v>
      </c>
      <c r="D36" s="25" t="s">
        <v>138</v>
      </c>
      <c r="E36" s="215" t="s">
        <v>19</v>
      </c>
      <c r="F36" s="220">
        <v>9.6</v>
      </c>
      <c r="G36" s="219">
        <v>30.53</v>
      </c>
      <c r="H36" s="186">
        <f>G36*(1+$H$12)</f>
        <v>37.390090999999998</v>
      </c>
      <c r="I36" s="187">
        <f>H36*F36</f>
        <v>358.94487359999999</v>
      </c>
    </row>
    <row r="37" spans="1:9" ht="30" x14ac:dyDescent="0.25">
      <c r="A37" s="47" t="s">
        <v>215</v>
      </c>
      <c r="B37" s="216">
        <v>101090</v>
      </c>
      <c r="C37" s="217" t="s">
        <v>134</v>
      </c>
      <c r="D37" s="138" t="s">
        <v>168</v>
      </c>
      <c r="E37" s="30" t="s">
        <v>19</v>
      </c>
      <c r="F37" s="218">
        <v>23.4</v>
      </c>
      <c r="G37" s="219">
        <v>213.14</v>
      </c>
      <c r="H37" s="186">
        <f>G37*(1+$H$12)</f>
        <v>261.03255799999994</v>
      </c>
      <c r="I37" s="187">
        <f>H37*F37</f>
        <v>6108.1618571999979</v>
      </c>
    </row>
    <row r="38" spans="1:9" x14ac:dyDescent="0.25">
      <c r="A38" s="206" t="s">
        <v>96</v>
      </c>
      <c r="B38" s="78"/>
      <c r="C38" s="78"/>
      <c r="D38" s="79" t="s">
        <v>51</v>
      </c>
      <c r="E38" s="80"/>
      <c r="F38" s="81"/>
      <c r="G38" s="82"/>
      <c r="H38" s="83"/>
      <c r="I38" s="84"/>
    </row>
    <row r="39" spans="1:9" ht="30" x14ac:dyDescent="0.25">
      <c r="A39" s="47" t="s">
        <v>153</v>
      </c>
      <c r="B39" s="137" t="s">
        <v>106</v>
      </c>
      <c r="C39" s="34" t="s">
        <v>10</v>
      </c>
      <c r="D39" s="33" t="s">
        <v>104</v>
      </c>
      <c r="E39" s="34" t="s">
        <v>19</v>
      </c>
      <c r="F39" s="139">
        <v>35.43</v>
      </c>
      <c r="G39" s="180">
        <v>173.75</v>
      </c>
      <c r="H39" s="186">
        <f t="shared" ref="H39:H42" si="6">G39*(1+$H$12)</f>
        <v>212.79162499999998</v>
      </c>
      <c r="I39" s="187">
        <f t="shared" ref="I39:I42" si="7">H39*F39</f>
        <v>7539.2072737499993</v>
      </c>
    </row>
    <row r="40" spans="1:9" x14ac:dyDescent="0.25">
      <c r="A40" s="47" t="s">
        <v>154</v>
      </c>
      <c r="B40" s="34" t="s">
        <v>107</v>
      </c>
      <c r="C40" s="34" t="s">
        <v>10</v>
      </c>
      <c r="D40" s="198" t="s">
        <v>105</v>
      </c>
      <c r="E40" s="34" t="s">
        <v>19</v>
      </c>
      <c r="F40" s="139">
        <v>38.26</v>
      </c>
      <c r="G40" s="180">
        <v>68.28</v>
      </c>
      <c r="H40" s="186">
        <f t="shared" si="6"/>
        <v>83.62251599999999</v>
      </c>
      <c r="I40" s="187">
        <f t="shared" si="7"/>
        <v>3199.3974621599996</v>
      </c>
    </row>
    <row r="41" spans="1:9" ht="30" x14ac:dyDescent="0.25">
      <c r="A41" s="47" t="s">
        <v>155</v>
      </c>
      <c r="B41" s="137" t="s">
        <v>102</v>
      </c>
      <c r="C41" s="34" t="s">
        <v>10</v>
      </c>
      <c r="D41" s="33" t="s">
        <v>101</v>
      </c>
      <c r="E41" s="34" t="s">
        <v>11</v>
      </c>
      <c r="F41" s="139">
        <v>18.5</v>
      </c>
      <c r="G41" s="180">
        <v>31.12</v>
      </c>
      <c r="H41" s="186">
        <f t="shared" si="6"/>
        <v>38.112663999999995</v>
      </c>
      <c r="I41" s="187">
        <f t="shared" si="7"/>
        <v>705.08428399999991</v>
      </c>
    </row>
    <row r="42" spans="1:9" x14ac:dyDescent="0.25">
      <c r="A42" s="47" t="s">
        <v>156</v>
      </c>
      <c r="B42" s="34" t="s">
        <v>109</v>
      </c>
      <c r="C42" s="34" t="s">
        <v>10</v>
      </c>
      <c r="D42" s="198" t="s">
        <v>108</v>
      </c>
      <c r="E42" s="34" t="s">
        <v>11</v>
      </c>
      <c r="F42" s="139">
        <v>15</v>
      </c>
      <c r="G42" s="180">
        <v>39.86</v>
      </c>
      <c r="H42" s="186">
        <f t="shared" si="6"/>
        <v>48.816541999999998</v>
      </c>
      <c r="I42" s="187">
        <f t="shared" si="7"/>
        <v>732.24812999999995</v>
      </c>
    </row>
    <row r="43" spans="1:9" x14ac:dyDescent="0.25">
      <c r="A43" s="206" t="s">
        <v>97</v>
      </c>
      <c r="B43" s="78"/>
      <c r="C43" s="78"/>
      <c r="D43" s="79" t="s">
        <v>237</v>
      </c>
      <c r="E43" s="80"/>
      <c r="F43" s="81"/>
      <c r="G43" s="82"/>
      <c r="H43" s="83"/>
      <c r="I43" s="84"/>
    </row>
    <row r="44" spans="1:9" ht="45" x14ac:dyDescent="0.25">
      <c r="A44" s="47" t="s">
        <v>240</v>
      </c>
      <c r="B44" s="137" t="s">
        <v>238</v>
      </c>
      <c r="C44" s="34" t="s">
        <v>10</v>
      </c>
      <c r="D44" s="138" t="s">
        <v>239</v>
      </c>
      <c r="E44" s="34" t="s">
        <v>12</v>
      </c>
      <c r="F44" s="139">
        <v>2</v>
      </c>
      <c r="G44" s="180">
        <v>301.64</v>
      </c>
      <c r="H44" s="186">
        <f>G44*(1+$H$12)</f>
        <v>369.41850799999997</v>
      </c>
      <c r="I44" s="187">
        <f>H44*F44</f>
        <v>738.83701599999995</v>
      </c>
    </row>
    <row r="45" spans="1:9" ht="27" customHeight="1" x14ac:dyDescent="0.25">
      <c r="A45" s="206" t="s">
        <v>39</v>
      </c>
      <c r="B45" s="78"/>
      <c r="C45" s="78"/>
      <c r="D45" s="79" t="s">
        <v>186</v>
      </c>
      <c r="E45" s="80"/>
      <c r="F45" s="81"/>
      <c r="G45" s="82"/>
      <c r="H45" s="83"/>
      <c r="I45" s="84">
        <f>SUM(I46:I53)</f>
        <v>124625.00530765332</v>
      </c>
    </row>
    <row r="46" spans="1:9" x14ac:dyDescent="0.25">
      <c r="A46" s="47" t="s">
        <v>40</v>
      </c>
      <c r="B46" s="222" t="s">
        <v>191</v>
      </c>
      <c r="C46" s="223"/>
      <c r="D46" s="51" t="s">
        <v>190</v>
      </c>
      <c r="E46" s="47" t="s">
        <v>12</v>
      </c>
      <c r="F46" s="48">
        <v>56</v>
      </c>
      <c r="G46" s="199">
        <f>'QUADRO RESUMO ORÇAMENTOS'!C13</f>
        <v>1411.9666666666665</v>
      </c>
      <c r="H46" s="186">
        <f t="shared" ref="H46:H53" si="8">G46*(1+$H$12)</f>
        <v>1729.2355766666662</v>
      </c>
      <c r="I46" s="187">
        <f>H46*F46</f>
        <v>96837.192293333312</v>
      </c>
    </row>
    <row r="47" spans="1:9" ht="50.25" customHeight="1" x14ac:dyDescent="0.25">
      <c r="A47" s="47" t="s">
        <v>41</v>
      </c>
      <c r="B47" s="137">
        <v>101522</v>
      </c>
      <c r="C47" s="197" t="s">
        <v>134</v>
      </c>
      <c r="D47" s="138" t="s">
        <v>230</v>
      </c>
      <c r="E47" s="190" t="s">
        <v>12</v>
      </c>
      <c r="F47" s="48">
        <v>1</v>
      </c>
      <c r="G47" s="180">
        <v>1231.6600000000001</v>
      </c>
      <c r="H47" s="186">
        <f t="shared" si="8"/>
        <v>1508.414002</v>
      </c>
      <c r="I47" s="187">
        <f t="shared" ref="I47:I53" si="9">H47*F47</f>
        <v>1508.414002</v>
      </c>
    </row>
    <row r="48" spans="1:9" ht="30" x14ac:dyDescent="0.25">
      <c r="A48" s="47" t="s">
        <v>98</v>
      </c>
      <c r="B48" s="34" t="s">
        <v>64</v>
      </c>
      <c r="C48" s="47" t="s">
        <v>10</v>
      </c>
      <c r="D48" s="33" t="s">
        <v>58</v>
      </c>
      <c r="E48" s="23" t="s">
        <v>20</v>
      </c>
      <c r="F48" s="48">
        <v>6.26</v>
      </c>
      <c r="G48" s="196">
        <v>61.08</v>
      </c>
      <c r="H48" s="186">
        <f t="shared" si="8"/>
        <v>74.804675999999986</v>
      </c>
      <c r="I48" s="187">
        <f t="shared" si="9"/>
        <v>468.27727175999991</v>
      </c>
    </row>
    <row r="49" spans="1:9" x14ac:dyDescent="0.25">
      <c r="A49" s="47" t="s">
        <v>99</v>
      </c>
      <c r="B49" s="23" t="s">
        <v>66</v>
      </c>
      <c r="C49" s="47" t="s">
        <v>10</v>
      </c>
      <c r="D49" s="22" t="s">
        <v>60</v>
      </c>
      <c r="E49" s="23" t="s">
        <v>20</v>
      </c>
      <c r="F49" s="48">
        <v>3.11</v>
      </c>
      <c r="G49" s="196">
        <v>475.24</v>
      </c>
      <c r="H49" s="186">
        <f t="shared" si="8"/>
        <v>582.02642800000001</v>
      </c>
      <c r="I49" s="187">
        <f t="shared" si="9"/>
        <v>1810.10219108</v>
      </c>
    </row>
    <row r="50" spans="1:9" x14ac:dyDescent="0.25">
      <c r="A50" s="47" t="s">
        <v>100</v>
      </c>
      <c r="B50" s="34" t="s">
        <v>67</v>
      </c>
      <c r="C50" s="47" t="s">
        <v>10</v>
      </c>
      <c r="D50" s="152" t="s">
        <v>61</v>
      </c>
      <c r="E50" s="23" t="s">
        <v>20</v>
      </c>
      <c r="F50" s="139">
        <v>3.11</v>
      </c>
      <c r="G50" s="196">
        <v>171.74</v>
      </c>
      <c r="H50" s="186">
        <f t="shared" si="8"/>
        <v>210.32997799999998</v>
      </c>
      <c r="I50" s="187">
        <f t="shared" si="9"/>
        <v>654.12623157999997</v>
      </c>
    </row>
    <row r="51" spans="1:9" x14ac:dyDescent="0.25">
      <c r="A51" s="47" t="s">
        <v>231</v>
      </c>
      <c r="B51" s="137" t="s">
        <v>222</v>
      </c>
      <c r="C51" s="47" t="s">
        <v>10</v>
      </c>
      <c r="D51" s="193" t="s">
        <v>223</v>
      </c>
      <c r="E51" s="47" t="s">
        <v>20</v>
      </c>
      <c r="F51" s="48">
        <v>4.96</v>
      </c>
      <c r="G51" s="180">
        <v>19</v>
      </c>
      <c r="H51" s="186">
        <f t="shared" si="8"/>
        <v>23.269299999999998</v>
      </c>
      <c r="I51" s="187">
        <f t="shared" si="9"/>
        <v>115.41572799999999</v>
      </c>
    </row>
    <row r="52" spans="1:9" ht="30" x14ac:dyDescent="0.25">
      <c r="A52" s="47" t="s">
        <v>245</v>
      </c>
      <c r="B52" s="34" t="s">
        <v>262</v>
      </c>
      <c r="C52" s="34" t="s">
        <v>10</v>
      </c>
      <c r="D52" s="51" t="s">
        <v>263</v>
      </c>
      <c r="E52" s="47" t="s">
        <v>11</v>
      </c>
      <c r="F52" s="48">
        <v>2014</v>
      </c>
      <c r="G52" s="196">
        <v>8.4600000000000009</v>
      </c>
      <c r="H52" s="186">
        <f t="shared" si="8"/>
        <v>10.360962000000001</v>
      </c>
      <c r="I52" s="187">
        <f t="shared" si="9"/>
        <v>20866.977468000001</v>
      </c>
    </row>
    <row r="53" spans="1:9" x14ac:dyDescent="0.25">
      <c r="A53" s="47" t="s">
        <v>261</v>
      </c>
      <c r="B53" s="34" t="s">
        <v>228</v>
      </c>
      <c r="C53" s="47" t="s">
        <v>10</v>
      </c>
      <c r="D53" s="152" t="s">
        <v>229</v>
      </c>
      <c r="E53" s="23" t="s">
        <v>11</v>
      </c>
      <c r="F53" s="48">
        <v>61.98</v>
      </c>
      <c r="G53" s="180">
        <v>31.15</v>
      </c>
      <c r="H53" s="186">
        <f t="shared" si="8"/>
        <v>38.149404999999994</v>
      </c>
      <c r="I53" s="187">
        <f t="shared" si="9"/>
        <v>2364.5001218999996</v>
      </c>
    </row>
    <row r="54" spans="1:9" ht="31.5" customHeight="1" x14ac:dyDescent="0.25">
      <c r="A54" s="206" t="s">
        <v>42</v>
      </c>
      <c r="B54" s="78"/>
      <c r="C54" s="78"/>
      <c r="D54" s="79" t="s">
        <v>192</v>
      </c>
      <c r="E54" s="80"/>
      <c r="F54" s="81"/>
      <c r="G54" s="82"/>
      <c r="H54" s="83"/>
      <c r="I54" s="84">
        <f>SUM(I55:I59)</f>
        <v>32072.737527999998</v>
      </c>
    </row>
    <row r="55" spans="1:9" ht="16.5" customHeight="1" x14ac:dyDescent="0.25">
      <c r="A55" s="47" t="s">
        <v>43</v>
      </c>
      <c r="B55" s="34" t="s">
        <v>194</v>
      </c>
      <c r="C55" s="34" t="s">
        <v>10</v>
      </c>
      <c r="D55" s="152" t="s">
        <v>193</v>
      </c>
      <c r="E55" s="47" t="s">
        <v>12</v>
      </c>
      <c r="F55" s="48">
        <v>24</v>
      </c>
      <c r="G55" s="196">
        <v>565.84</v>
      </c>
      <c r="H55" s="186">
        <f t="shared" ref="H55:H59" si="10">G55*(1+$H$12)</f>
        <v>692.98424799999998</v>
      </c>
      <c r="I55" s="187">
        <f t="shared" ref="I55:I59" si="11">H55*F55</f>
        <v>16631.621952000001</v>
      </c>
    </row>
    <row r="56" spans="1:9" ht="15.75" customHeight="1" x14ac:dyDescent="0.25">
      <c r="A56" s="47" t="s">
        <v>44</v>
      </c>
      <c r="B56" s="34" t="s">
        <v>196</v>
      </c>
      <c r="C56" s="34" t="s">
        <v>10</v>
      </c>
      <c r="D56" s="152" t="s">
        <v>195</v>
      </c>
      <c r="E56" s="47" t="s">
        <v>12</v>
      </c>
      <c r="F56" s="48">
        <v>1</v>
      </c>
      <c r="G56" s="196">
        <v>5108.47</v>
      </c>
      <c r="H56" s="186">
        <f t="shared" si="10"/>
        <v>6256.3432089999997</v>
      </c>
      <c r="I56" s="187">
        <f t="shared" si="11"/>
        <v>6256.3432089999997</v>
      </c>
    </row>
    <row r="57" spans="1:9" ht="15.75" customHeight="1" x14ac:dyDescent="0.25">
      <c r="A57" s="47" t="s">
        <v>45</v>
      </c>
      <c r="B57" s="34" t="s">
        <v>198</v>
      </c>
      <c r="C57" s="34" t="s">
        <v>10</v>
      </c>
      <c r="D57" s="152" t="s">
        <v>197</v>
      </c>
      <c r="E57" s="47" t="s">
        <v>12</v>
      </c>
      <c r="F57" s="48">
        <v>1</v>
      </c>
      <c r="G57" s="196">
        <v>2855.2</v>
      </c>
      <c r="H57" s="186">
        <f t="shared" si="10"/>
        <v>3496.7634399999997</v>
      </c>
      <c r="I57" s="187">
        <f t="shared" si="11"/>
        <v>3496.7634399999997</v>
      </c>
    </row>
    <row r="58" spans="1:9" x14ac:dyDescent="0.25">
      <c r="A58" s="47" t="s">
        <v>46</v>
      </c>
      <c r="B58" s="34" t="s">
        <v>200</v>
      </c>
      <c r="C58" s="34" t="s">
        <v>10</v>
      </c>
      <c r="D58" s="152" t="s">
        <v>199</v>
      </c>
      <c r="E58" s="47" t="s">
        <v>12</v>
      </c>
      <c r="F58" s="48">
        <v>1</v>
      </c>
      <c r="G58" s="196">
        <v>1769.94</v>
      </c>
      <c r="H58" s="186">
        <f t="shared" si="10"/>
        <v>2167.6455179999998</v>
      </c>
      <c r="I58" s="187">
        <f t="shared" si="11"/>
        <v>2167.6455179999998</v>
      </c>
    </row>
    <row r="59" spans="1:9" x14ac:dyDescent="0.25">
      <c r="A59" s="47" t="s">
        <v>47</v>
      </c>
      <c r="B59" s="34" t="s">
        <v>202</v>
      </c>
      <c r="C59" s="34" t="s">
        <v>10</v>
      </c>
      <c r="D59" s="152" t="s">
        <v>201</v>
      </c>
      <c r="E59" s="47" t="s">
        <v>12</v>
      </c>
      <c r="F59" s="48">
        <v>1</v>
      </c>
      <c r="G59" s="196">
        <v>2874.47</v>
      </c>
      <c r="H59" s="186">
        <f t="shared" si="10"/>
        <v>3520.3634089999996</v>
      </c>
      <c r="I59" s="187">
        <f t="shared" si="11"/>
        <v>3520.3634089999996</v>
      </c>
    </row>
    <row r="60" spans="1:9" ht="32.25" customHeight="1" x14ac:dyDescent="0.25">
      <c r="A60" s="206" t="s">
        <v>49</v>
      </c>
      <c r="B60" s="78"/>
      <c r="C60" s="78"/>
      <c r="D60" s="79" t="s">
        <v>212</v>
      </c>
      <c r="E60" s="80"/>
      <c r="F60" s="81"/>
      <c r="G60" s="82"/>
      <c r="H60" s="83"/>
      <c r="I60" s="84">
        <f>SUM(I61:I61)</f>
        <v>43839.543067949999</v>
      </c>
    </row>
    <row r="61" spans="1:9" s="102" customFormat="1" ht="18" customHeight="1" x14ac:dyDescent="0.25">
      <c r="A61" s="47" t="s">
        <v>50</v>
      </c>
      <c r="B61" s="152" t="s">
        <v>214</v>
      </c>
      <c r="C61" s="35" t="s">
        <v>10</v>
      </c>
      <c r="D61" s="152" t="s">
        <v>213</v>
      </c>
      <c r="E61" s="47" t="s">
        <v>19</v>
      </c>
      <c r="F61" s="48">
        <v>2012.15</v>
      </c>
      <c r="G61" s="196">
        <v>17.79</v>
      </c>
      <c r="H61" s="186">
        <f>G61*(1+$H$12)</f>
        <v>21.787412999999997</v>
      </c>
      <c r="I61" s="187">
        <f>H61*F61</f>
        <v>43839.543067949999</v>
      </c>
    </row>
    <row r="62" spans="1:9" ht="29.25" customHeight="1" x14ac:dyDescent="0.25">
      <c r="A62" s="207"/>
      <c r="B62" s="38"/>
      <c r="C62" s="38"/>
      <c r="D62" s="39"/>
      <c r="E62" s="224" t="s">
        <v>72</v>
      </c>
      <c r="F62" s="224"/>
      <c r="G62" s="224"/>
      <c r="H62" s="224"/>
      <c r="I62" s="40">
        <f>I60+I54+I45+I34+I25+I20+I16</f>
        <v>287006.05430395331</v>
      </c>
    </row>
    <row r="64" spans="1:9" x14ac:dyDescent="0.25">
      <c r="E64" s="221" t="s">
        <v>271</v>
      </c>
      <c r="F64" s="221"/>
      <c r="G64" s="221"/>
      <c r="H64" s="221"/>
      <c r="I64" s="221"/>
    </row>
    <row r="65" spans="5:9" x14ac:dyDescent="0.25">
      <c r="E65" s="174"/>
      <c r="G65" s="174"/>
      <c r="H65" s="174"/>
      <c r="I65" s="174"/>
    </row>
    <row r="67" spans="5:9" x14ac:dyDescent="0.25">
      <c r="E67" s="221" t="s">
        <v>272</v>
      </c>
      <c r="F67" s="221"/>
      <c r="G67" s="221"/>
      <c r="H67" s="221"/>
      <c r="I67" s="221"/>
    </row>
    <row r="68" spans="5:9" x14ac:dyDescent="0.25">
      <c r="E68" s="221" t="s">
        <v>273</v>
      </c>
      <c r="F68" s="221"/>
      <c r="G68" s="221"/>
      <c r="H68" s="221"/>
      <c r="I68" s="221"/>
    </row>
    <row r="69" spans="5:9" x14ac:dyDescent="0.25">
      <c r="E69" s="221" t="s">
        <v>73</v>
      </c>
      <c r="F69" s="221"/>
      <c r="G69" s="221"/>
      <c r="H69" s="221"/>
      <c r="I69" s="221"/>
    </row>
    <row r="70" spans="5:9" x14ac:dyDescent="0.25">
      <c r="E70" s="221"/>
      <c r="F70" s="221"/>
      <c r="G70" s="221"/>
      <c r="H70" s="221"/>
      <c r="I70" s="221"/>
    </row>
    <row r="74" spans="5:9" x14ac:dyDescent="0.25">
      <c r="H74" s="134"/>
    </row>
    <row r="75" spans="5:9" x14ac:dyDescent="0.25">
      <c r="H75" s="175"/>
    </row>
  </sheetData>
  <mergeCells count="10">
    <mergeCell ref="G5:G7"/>
    <mergeCell ref="A8:I8"/>
    <mergeCell ref="G9:G11"/>
    <mergeCell ref="E68:I68"/>
    <mergeCell ref="E69:I69"/>
    <mergeCell ref="E70:I70"/>
    <mergeCell ref="B46:C46"/>
    <mergeCell ref="E62:H62"/>
    <mergeCell ref="E64:I64"/>
    <mergeCell ref="E67:I67"/>
  </mergeCells>
  <conditionalFormatting sqref="A61">
    <cfRule type="expression" dxfId="208" priority="109">
      <formula>IF(#REF!="I",TRUE,FALSE)</formula>
    </cfRule>
    <cfRule type="expression" dxfId="207" priority="110">
      <formula>IF(#REF!="T",TRUE,FALSE)</formula>
    </cfRule>
  </conditionalFormatting>
  <conditionalFormatting sqref="E46:F46 F47:F49 F53 C53 E29:G35 C21:C24 B26:D27 C37 E47 B48:D49 C50:C51 C28 A17:A35 G47:G52 E51:F52 A16:I16 E38:G38 E45:G45 E43:G43 E17:G20 E25:G25 E54:G61 I17:I35 I37:I61 A37:A61">
    <cfRule type="expression" dxfId="206" priority="460">
      <formula>IF(#REF!="I",TRUE,FALSE)</formula>
    </cfRule>
    <cfRule type="expression" dxfId="205" priority="461">
      <formula>IF(#REF!="T",TRUE,FALSE)</formula>
    </cfRule>
  </conditionalFormatting>
  <conditionalFormatting sqref="C16 C53 C21:C24 C37 C48:C51 C26:C28">
    <cfRule type="expression" dxfId="204" priority="538">
      <formula>IF(#REF!="I",TRUE,FALSE)</formula>
    </cfRule>
  </conditionalFormatting>
  <conditionalFormatting sqref="A36">
    <cfRule type="expression" dxfId="203" priority="3">
      <formula>IF(#REF!="I",TRUE,FALSE)</formula>
    </cfRule>
    <cfRule type="expression" dxfId="202" priority="4">
      <formula>IF(#REF!="T",TRUE,FALSE)</formula>
    </cfRule>
  </conditionalFormatting>
  <conditionalFormatting sqref="I36">
    <cfRule type="expression" dxfId="201" priority="1">
      <formula>IF(#REF!="I",TRUE,FALSE)</formula>
    </cfRule>
    <cfRule type="expression" dxfId="200" priority="2">
      <formula>IF(#REF!="T",TRUE,FALSE)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20"/>
  <sheetViews>
    <sheetView workbookViewId="0">
      <selection activeCell="B20" sqref="A1:C20"/>
    </sheetView>
  </sheetViews>
  <sheetFormatPr defaultRowHeight="15" x14ac:dyDescent="0.25"/>
  <cols>
    <col min="1" max="1" width="18.5703125" customWidth="1"/>
    <col min="2" max="2" width="41.28515625" customWidth="1"/>
    <col min="3" max="3" width="18" customWidth="1"/>
  </cols>
  <sheetData>
    <row r="8" spans="1:3" x14ac:dyDescent="0.25">
      <c r="A8" s="229" t="s">
        <v>267</v>
      </c>
      <c r="B8" s="229"/>
      <c r="C8" s="229"/>
    </row>
    <row r="9" spans="1:3" x14ac:dyDescent="0.25">
      <c r="A9" s="213" t="s">
        <v>269</v>
      </c>
      <c r="B9" s="213" t="s">
        <v>268</v>
      </c>
      <c r="C9" s="213" t="s">
        <v>251</v>
      </c>
    </row>
    <row r="10" spans="1:3" x14ac:dyDescent="0.25">
      <c r="A10" s="4">
        <v>1</v>
      </c>
      <c r="B10" s="1" t="s">
        <v>264</v>
      </c>
      <c r="C10" s="159">
        <v>1050</v>
      </c>
    </row>
    <row r="11" spans="1:3" x14ac:dyDescent="0.25">
      <c r="A11" s="4">
        <v>2</v>
      </c>
      <c r="B11" s="1" t="s">
        <v>270</v>
      </c>
      <c r="C11" s="159">
        <v>1590</v>
      </c>
    </row>
    <row r="12" spans="1:3" x14ac:dyDescent="0.25">
      <c r="A12" s="4">
        <v>3</v>
      </c>
      <c r="B12" s="1" t="s">
        <v>265</v>
      </c>
      <c r="C12" s="159">
        <v>1595.9</v>
      </c>
    </row>
    <row r="13" spans="1:3" x14ac:dyDescent="0.25">
      <c r="A13" s="229" t="s">
        <v>266</v>
      </c>
      <c r="B13" s="229"/>
      <c r="C13" s="214">
        <f>(C10+C11+C12)/3</f>
        <v>1411.9666666666665</v>
      </c>
    </row>
    <row r="16" spans="1:3" x14ac:dyDescent="0.25">
      <c r="B16" s="228" t="s">
        <v>280</v>
      </c>
      <c r="C16" s="228"/>
    </row>
    <row r="18" spans="2:3" x14ac:dyDescent="0.25">
      <c r="B18" s="228" t="s">
        <v>276</v>
      </c>
      <c r="C18" s="228"/>
    </row>
    <row r="19" spans="2:3" x14ac:dyDescent="0.25">
      <c r="B19" s="228" t="s">
        <v>273</v>
      </c>
      <c r="C19" s="228"/>
    </row>
    <row r="20" spans="2:3" x14ac:dyDescent="0.25">
      <c r="B20" s="228" t="s">
        <v>277</v>
      </c>
      <c r="C20" s="228"/>
    </row>
  </sheetData>
  <mergeCells count="6">
    <mergeCell ref="B20:C20"/>
    <mergeCell ref="A13:B13"/>
    <mergeCell ref="A8:C8"/>
    <mergeCell ref="B16:C16"/>
    <mergeCell ref="B18:C18"/>
    <mergeCell ref="B19:C1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99"/>
  <sheetViews>
    <sheetView showGridLines="0" topLeftCell="A14" zoomScale="110" zoomScaleNormal="110" workbookViewId="0">
      <selection activeCell="J97" sqref="A1:L97"/>
    </sheetView>
  </sheetViews>
  <sheetFormatPr defaultRowHeight="15" x14ac:dyDescent="0.25"/>
  <cols>
    <col min="1" max="1" width="7" style="13" customWidth="1"/>
    <col min="2" max="3" width="10.85546875" style="140" hidden="1" customWidth="1"/>
    <col min="4" max="4" width="44.42578125" style="13" customWidth="1"/>
    <col min="5" max="5" width="0" style="13" hidden="1" customWidth="1"/>
    <col min="6" max="6" width="0" style="140" hidden="1" customWidth="1"/>
    <col min="7" max="7" width="14.5703125" style="13" hidden="1" customWidth="1"/>
    <col min="8" max="8" width="14.85546875" style="13" hidden="1" customWidth="1"/>
    <col min="9" max="9" width="16.42578125" style="13" customWidth="1"/>
    <col min="10" max="10" width="15" customWidth="1"/>
    <col min="11" max="11" width="15.28515625" customWidth="1"/>
    <col min="12" max="12" width="15.42578125" customWidth="1"/>
    <col min="14" max="14" width="14.42578125" bestFit="1" customWidth="1"/>
  </cols>
  <sheetData>
    <row r="5" spans="1:12" ht="27" customHeight="1" x14ac:dyDescent="0.25">
      <c r="A5" s="103"/>
      <c r="B5" s="90"/>
      <c r="C5" s="90"/>
      <c r="D5" s="104"/>
      <c r="E5" s="105"/>
      <c r="F5" s="90"/>
      <c r="G5" s="225"/>
      <c r="H5" s="106"/>
      <c r="I5" s="107"/>
      <c r="J5" s="41"/>
    </row>
    <row r="6" spans="1:12" x14ac:dyDescent="0.25">
      <c r="A6" s="103"/>
      <c r="B6" s="90"/>
      <c r="C6" s="90"/>
      <c r="D6" s="104"/>
      <c r="E6" s="105"/>
      <c r="F6" s="90"/>
      <c r="G6" s="225"/>
      <c r="H6" s="106"/>
      <c r="I6" s="108"/>
      <c r="J6" s="42"/>
    </row>
    <row r="7" spans="1:12" x14ac:dyDescent="0.25">
      <c r="A7" s="103"/>
      <c r="B7" s="90"/>
      <c r="C7" s="90"/>
      <c r="D7" s="104"/>
      <c r="E7" s="105"/>
      <c r="F7" s="90"/>
      <c r="G7" s="225"/>
      <c r="H7" s="109"/>
      <c r="I7" s="110"/>
      <c r="J7" s="43"/>
    </row>
    <row r="8" spans="1:12" s="128" customFormat="1" ht="41.25" customHeight="1" x14ac:dyDescent="0.25">
      <c r="A8" s="230" t="s">
        <v>111</v>
      </c>
      <c r="B8" s="230"/>
      <c r="C8" s="230"/>
      <c r="D8" s="230"/>
      <c r="E8" s="230"/>
      <c r="F8" s="230"/>
      <c r="G8" s="230"/>
      <c r="H8" s="230"/>
      <c r="I8" s="230"/>
      <c r="J8" s="127"/>
    </row>
    <row r="9" spans="1:12" ht="15.75" x14ac:dyDescent="0.25">
      <c r="A9" s="111" t="s">
        <v>115</v>
      </c>
      <c r="B9" s="91"/>
      <c r="C9" s="91"/>
      <c r="D9" s="112"/>
      <c r="E9" s="113"/>
      <c r="F9" s="91"/>
      <c r="G9" s="227" t="s">
        <v>56</v>
      </c>
      <c r="H9" s="114" t="s">
        <v>52</v>
      </c>
      <c r="I9" s="107"/>
      <c r="J9" s="20"/>
    </row>
    <row r="10" spans="1:12" x14ac:dyDescent="0.25">
      <c r="A10" s="116" t="s">
        <v>116</v>
      </c>
      <c r="B10" s="92"/>
      <c r="C10" s="90"/>
      <c r="D10" s="117"/>
      <c r="E10" s="117"/>
      <c r="F10" s="118"/>
      <c r="G10" s="227"/>
      <c r="H10" s="119" t="s">
        <v>53</v>
      </c>
      <c r="I10" s="107"/>
      <c r="J10" s="20"/>
    </row>
    <row r="11" spans="1:12" x14ac:dyDescent="0.25">
      <c r="A11" s="112"/>
      <c r="B11" s="92"/>
      <c r="C11" s="90"/>
      <c r="D11" s="117"/>
      <c r="E11" s="117"/>
      <c r="F11" s="118"/>
      <c r="G11" s="227"/>
      <c r="H11" s="119" t="s">
        <v>54</v>
      </c>
      <c r="I11" s="107"/>
      <c r="J11" s="20"/>
    </row>
    <row r="12" spans="1:12" x14ac:dyDescent="0.25">
      <c r="A12" s="105"/>
      <c r="B12" s="93"/>
      <c r="C12" s="93"/>
      <c r="D12" s="117"/>
      <c r="E12" s="117"/>
      <c r="F12" s="118"/>
      <c r="G12" s="227"/>
      <c r="H12" s="120" t="s">
        <v>55</v>
      </c>
      <c r="I12" s="107"/>
      <c r="J12" s="20"/>
    </row>
    <row r="13" spans="1:12" x14ac:dyDescent="0.25">
      <c r="A13" s="105"/>
      <c r="B13" s="90"/>
      <c r="C13" s="90"/>
      <c r="D13" s="105"/>
      <c r="E13" s="105"/>
      <c r="F13" s="121"/>
      <c r="G13" s="122" t="s">
        <v>1</v>
      </c>
      <c r="H13" s="142">
        <v>0.22470000000000001</v>
      </c>
      <c r="I13" s="143"/>
      <c r="J13" s="21"/>
    </row>
    <row r="14" spans="1:12" x14ac:dyDescent="0.25">
      <c r="A14" s="105"/>
      <c r="B14" s="90"/>
      <c r="C14" s="90"/>
      <c r="D14" s="105"/>
      <c r="E14" s="105"/>
      <c r="F14" s="121"/>
      <c r="G14" s="122" t="s">
        <v>0</v>
      </c>
      <c r="H14" s="124">
        <v>44743</v>
      </c>
      <c r="I14" s="105"/>
      <c r="J14" s="21"/>
    </row>
    <row r="15" spans="1:12" ht="3.75" customHeight="1" x14ac:dyDescent="0.25"/>
    <row r="16" spans="1:12" ht="30" customHeight="1" x14ac:dyDescent="0.25">
      <c r="A16" s="94" t="s">
        <v>2</v>
      </c>
      <c r="B16" s="94" t="s">
        <v>3</v>
      </c>
      <c r="C16" s="94" t="s">
        <v>81</v>
      </c>
      <c r="D16" s="94" t="s">
        <v>4</v>
      </c>
      <c r="E16" s="94" t="s">
        <v>5</v>
      </c>
      <c r="F16" s="94" t="s">
        <v>6</v>
      </c>
      <c r="G16" s="94" t="s">
        <v>7</v>
      </c>
      <c r="H16" s="94" t="s">
        <v>8</v>
      </c>
      <c r="I16" s="94" t="s">
        <v>9</v>
      </c>
      <c r="J16" s="141" t="s">
        <v>112</v>
      </c>
      <c r="K16" s="141" t="s">
        <v>113</v>
      </c>
      <c r="L16" s="141" t="s">
        <v>114</v>
      </c>
    </row>
    <row r="17" spans="1:12" ht="26.25" customHeight="1" x14ac:dyDescent="0.25">
      <c r="A17" s="144" t="s">
        <v>89</v>
      </c>
      <c r="B17" s="145"/>
      <c r="C17" s="145"/>
      <c r="D17" s="147" t="s">
        <v>117</v>
      </c>
      <c r="E17" s="148"/>
      <c r="F17" s="149"/>
      <c r="G17" s="150"/>
      <c r="H17" s="150"/>
      <c r="I17" s="151">
        <f>'PLANILHA FINAL'!I16</f>
        <v>791.11505007999995</v>
      </c>
      <c r="J17" s="159">
        <f>I17</f>
        <v>791.11505007999995</v>
      </c>
      <c r="K17" s="1"/>
      <c r="L17" s="1"/>
    </row>
    <row r="18" spans="1:12" ht="45" hidden="1" x14ac:dyDescent="0.25">
      <c r="A18" s="6" t="s">
        <v>90</v>
      </c>
      <c r="B18" s="15" t="s">
        <v>246</v>
      </c>
      <c r="C18" s="15" t="s">
        <v>10</v>
      </c>
      <c r="D18" s="51" t="s">
        <v>247</v>
      </c>
      <c r="E18" s="47" t="s">
        <v>19</v>
      </c>
      <c r="F18" s="48">
        <v>4960.1000000000004</v>
      </c>
      <c r="G18" s="49">
        <v>0.9</v>
      </c>
      <c r="H18" s="95">
        <f>H13*G18+G18</f>
        <v>1.10223</v>
      </c>
      <c r="I18" s="50">
        <f t="shared" ref="I18:I19" si="0">H18*F18</f>
        <v>5467.1710230000008</v>
      </c>
      <c r="J18" s="1"/>
      <c r="K18" s="1"/>
      <c r="L18" s="1"/>
    </row>
    <row r="19" spans="1:12" ht="45" hidden="1" x14ac:dyDescent="0.25">
      <c r="A19" s="6" t="s">
        <v>91</v>
      </c>
      <c r="B19" s="15" t="s">
        <v>119</v>
      </c>
      <c r="C19" s="9" t="s">
        <v>10</v>
      </c>
      <c r="D19" s="51" t="s">
        <v>118</v>
      </c>
      <c r="E19" s="47" t="s">
        <v>120</v>
      </c>
      <c r="F19" s="48">
        <v>1</v>
      </c>
      <c r="G19" s="49">
        <v>1166.77</v>
      </c>
      <c r="H19" s="49">
        <f>H13*G19+G19</f>
        <v>1428.943219</v>
      </c>
      <c r="I19" s="50">
        <f t="shared" si="0"/>
        <v>1428.943219</v>
      </c>
      <c r="J19" s="1"/>
      <c r="K19" s="1"/>
      <c r="L19" s="1"/>
    </row>
    <row r="20" spans="1:12" hidden="1" x14ac:dyDescent="0.25">
      <c r="A20" s="46" t="s">
        <v>92</v>
      </c>
      <c r="B20" s="15" t="s">
        <v>122</v>
      </c>
      <c r="C20" s="47" t="s">
        <v>10</v>
      </c>
      <c r="D20" s="152" t="s">
        <v>121</v>
      </c>
      <c r="E20" s="47" t="s">
        <v>12</v>
      </c>
      <c r="F20" s="48">
        <v>1</v>
      </c>
      <c r="G20" s="49">
        <v>3128.84</v>
      </c>
      <c r="H20" s="49">
        <f>H13*G20+G20</f>
        <v>3831.8903480000004</v>
      </c>
      <c r="I20" s="50">
        <f>H20*F20</f>
        <v>3831.8903480000004</v>
      </c>
      <c r="J20" s="1"/>
      <c r="K20" s="1"/>
      <c r="L20" s="1"/>
    </row>
    <row r="21" spans="1:12" hidden="1" x14ac:dyDescent="0.25">
      <c r="A21" s="6" t="s">
        <v>93</v>
      </c>
      <c r="B21" s="15" t="s">
        <v>124</v>
      </c>
      <c r="C21" s="15" t="s">
        <v>10</v>
      </c>
      <c r="D21" s="152" t="s">
        <v>123</v>
      </c>
      <c r="E21" s="47" t="s">
        <v>19</v>
      </c>
      <c r="F21" s="48">
        <f>MEMÓRIA!D6</f>
        <v>3</v>
      </c>
      <c r="G21" s="49">
        <v>860.2</v>
      </c>
      <c r="H21" s="95">
        <f>H13*G21+G21</f>
        <v>1053.48694</v>
      </c>
      <c r="I21" s="50">
        <f t="shared" ref="I21" si="1">H21*F21</f>
        <v>3160.4608200000002</v>
      </c>
      <c r="J21" s="1"/>
      <c r="K21" s="1"/>
      <c r="L21" s="1"/>
    </row>
    <row r="22" spans="1:12" ht="45" hidden="1" x14ac:dyDescent="0.25">
      <c r="A22" s="46" t="s">
        <v>94</v>
      </c>
      <c r="B22" s="15" t="s">
        <v>126</v>
      </c>
      <c r="C22" s="47" t="s">
        <v>10</v>
      </c>
      <c r="D22" s="51" t="s">
        <v>125</v>
      </c>
      <c r="E22" s="47" t="s">
        <v>20</v>
      </c>
      <c r="F22" s="48">
        <f>MEMÓRIA!D7</f>
        <v>496</v>
      </c>
      <c r="G22" s="49">
        <v>19.78</v>
      </c>
      <c r="H22" s="49">
        <f>H13*G22+G22</f>
        <v>24.224566000000003</v>
      </c>
      <c r="I22" s="50">
        <f>H22*F22</f>
        <v>12015.384736000002</v>
      </c>
      <c r="J22" s="1"/>
      <c r="K22" s="1"/>
      <c r="L22" s="1"/>
    </row>
    <row r="23" spans="1:12" hidden="1" x14ac:dyDescent="0.25">
      <c r="A23" s="46" t="s">
        <v>95</v>
      </c>
      <c r="B23" s="15" t="s">
        <v>22</v>
      </c>
      <c r="C23" s="15" t="s">
        <v>10</v>
      </c>
      <c r="D23" s="26" t="s">
        <v>21</v>
      </c>
      <c r="E23" s="47" t="s">
        <v>20</v>
      </c>
      <c r="F23" s="48">
        <f>MEMÓRIA!D8</f>
        <v>4.9000000000000004</v>
      </c>
      <c r="G23" s="49">
        <v>214.17</v>
      </c>
      <c r="H23" s="95">
        <f>G23*H13+G23</f>
        <v>262.29399899999999</v>
      </c>
      <c r="I23" s="50">
        <f t="shared" ref="I23" si="2">H23*F23</f>
        <v>1285.2405951000001</v>
      </c>
      <c r="J23" s="1"/>
      <c r="K23" s="1"/>
      <c r="L23" s="1"/>
    </row>
    <row r="24" spans="1:12" ht="29.25" customHeight="1" x14ac:dyDescent="0.25">
      <c r="A24" s="144" t="s">
        <v>74</v>
      </c>
      <c r="B24" s="141"/>
      <c r="C24" s="141"/>
      <c r="D24" s="153" t="s">
        <v>25</v>
      </c>
      <c r="E24" s="148"/>
      <c r="F24" s="149"/>
      <c r="G24" s="150"/>
      <c r="H24" s="154"/>
      <c r="I24" s="151">
        <f>'PLANILHA FINAL'!I20</f>
        <v>46411.83620179999</v>
      </c>
      <c r="J24" s="159">
        <f>I24/2</f>
        <v>23205.918100899995</v>
      </c>
      <c r="K24" s="159">
        <f>I24/2</f>
        <v>23205.918100899995</v>
      </c>
      <c r="L24" s="159"/>
    </row>
    <row r="25" spans="1:12" ht="30" hidden="1" x14ac:dyDescent="0.25">
      <c r="A25" s="46" t="s">
        <v>15</v>
      </c>
      <c r="B25" s="15" t="s">
        <v>132</v>
      </c>
      <c r="C25" s="9" t="s">
        <v>10</v>
      </c>
      <c r="D25" s="155" t="s">
        <v>131</v>
      </c>
      <c r="E25" s="23" t="s">
        <v>19</v>
      </c>
      <c r="F25" s="156">
        <f>MEMÓRIA!D10</f>
        <v>1737.4499999999998</v>
      </c>
      <c r="G25" s="157">
        <v>3.82</v>
      </c>
      <c r="H25" s="157">
        <f>H13*G25+G25</f>
        <v>4.6783539999999997</v>
      </c>
      <c r="I25" s="157">
        <f t="shared" ref="I25:I27" si="3">H25*F25</f>
        <v>8128.406157299999</v>
      </c>
      <c r="J25" s="1"/>
      <c r="K25" s="1"/>
      <c r="L25" s="1"/>
    </row>
    <row r="26" spans="1:12" ht="45" hidden="1" x14ac:dyDescent="0.25">
      <c r="A26" s="46" t="s">
        <v>16</v>
      </c>
      <c r="B26" s="15">
        <v>94991</v>
      </c>
      <c r="C26" s="9" t="s">
        <v>134</v>
      </c>
      <c r="D26" s="155" t="s">
        <v>133</v>
      </c>
      <c r="E26" s="23" t="s">
        <v>20</v>
      </c>
      <c r="F26" s="156">
        <f>MEMÓRIA!D11</f>
        <v>110.1331</v>
      </c>
      <c r="G26" s="157">
        <v>642.15</v>
      </c>
      <c r="H26" s="157">
        <f>H13*G26+G26</f>
        <v>786.44110499999999</v>
      </c>
      <c r="I26" s="157">
        <f t="shared" si="3"/>
        <v>86613.196861075499</v>
      </c>
      <c r="J26" s="1"/>
      <c r="K26" s="1"/>
      <c r="L26" s="1"/>
    </row>
    <row r="27" spans="1:12" ht="45" hidden="1" x14ac:dyDescent="0.25">
      <c r="A27" s="46" t="s">
        <v>17</v>
      </c>
      <c r="B27" s="15">
        <v>101090</v>
      </c>
      <c r="C27" s="9" t="s">
        <v>134</v>
      </c>
      <c r="D27" s="51" t="s">
        <v>168</v>
      </c>
      <c r="E27" s="23" t="s">
        <v>19</v>
      </c>
      <c r="F27" s="156">
        <f>MEMÓRIA!D12</f>
        <v>164.12</v>
      </c>
      <c r="G27" s="101">
        <v>182.74</v>
      </c>
      <c r="H27" s="101">
        <f>H13*G27+G27</f>
        <v>223.80167800000001</v>
      </c>
      <c r="I27" s="101">
        <f t="shared" si="3"/>
        <v>36730.33139336</v>
      </c>
      <c r="J27" s="1"/>
      <c r="K27" s="1"/>
      <c r="L27" s="1"/>
    </row>
    <row r="28" spans="1:12" ht="15.75" hidden="1" customHeight="1" x14ac:dyDescent="0.25">
      <c r="A28" s="46" t="s">
        <v>18</v>
      </c>
      <c r="B28" s="4" t="s">
        <v>220</v>
      </c>
      <c r="C28" s="9" t="s">
        <v>26</v>
      </c>
      <c r="D28" s="152" t="s">
        <v>219</v>
      </c>
      <c r="E28" s="23" t="s">
        <v>11</v>
      </c>
      <c r="F28" s="156">
        <f>MEMÓRIA!D13</f>
        <v>56</v>
      </c>
      <c r="G28" s="101">
        <f>39.25/1.23</f>
        <v>31.910569105691057</v>
      </c>
      <c r="H28" s="101">
        <f>G28*H13+G28</f>
        <v>39.080873983739835</v>
      </c>
      <c r="I28" s="101">
        <f>H28*F28</f>
        <v>2188.5289430894309</v>
      </c>
      <c r="J28" s="1"/>
      <c r="K28" s="1"/>
      <c r="L28" s="1"/>
    </row>
    <row r="29" spans="1:12" ht="29.25" customHeight="1" x14ac:dyDescent="0.25">
      <c r="A29" s="144" t="s">
        <v>23</v>
      </c>
      <c r="B29" s="141"/>
      <c r="C29" s="141"/>
      <c r="D29" s="153" t="s">
        <v>185</v>
      </c>
      <c r="E29" s="148"/>
      <c r="F29" s="149"/>
      <c r="G29" s="150"/>
      <c r="H29" s="154"/>
      <c r="I29" s="151">
        <f>'PLANILHA FINAL'!I25</f>
        <v>19883.936251759998</v>
      </c>
      <c r="J29" s="1"/>
      <c r="K29" s="159">
        <f>I29</f>
        <v>19883.936251759998</v>
      </c>
      <c r="L29" s="159"/>
    </row>
    <row r="30" spans="1:12" ht="28.5" hidden="1" customHeight="1" x14ac:dyDescent="0.25">
      <c r="A30" s="6" t="s">
        <v>24</v>
      </c>
      <c r="B30" s="15" t="s">
        <v>64</v>
      </c>
      <c r="C30" s="9" t="s">
        <v>10</v>
      </c>
      <c r="D30" s="33" t="s">
        <v>58</v>
      </c>
      <c r="E30" s="23" t="s">
        <v>20</v>
      </c>
      <c r="F30" s="139">
        <f>MEMÓRIA!D15</f>
        <v>2</v>
      </c>
      <c r="G30" s="95">
        <v>58.41</v>
      </c>
      <c r="H30" s="95">
        <f>G30*H13+G30</f>
        <v>71.534727000000004</v>
      </c>
      <c r="I30" s="95">
        <f>H30*F30</f>
        <v>143.06945400000001</v>
      </c>
      <c r="J30" s="1"/>
      <c r="K30" s="1"/>
      <c r="L30" s="1"/>
    </row>
    <row r="31" spans="1:12" ht="17.25" hidden="1" customHeight="1" x14ac:dyDescent="0.25">
      <c r="A31" s="6" t="s">
        <v>27</v>
      </c>
      <c r="B31" s="23" t="s">
        <v>66</v>
      </c>
      <c r="C31" s="9" t="s">
        <v>10</v>
      </c>
      <c r="D31" s="25" t="s">
        <v>60</v>
      </c>
      <c r="E31" s="23" t="s">
        <v>20</v>
      </c>
      <c r="F31" s="139">
        <f>MEMÓRIA!D16</f>
        <v>2</v>
      </c>
      <c r="G31" s="95">
        <v>416.28</v>
      </c>
      <c r="H31" s="95">
        <f>G31*H13+G31</f>
        <v>509.81811599999997</v>
      </c>
      <c r="I31" s="95">
        <f t="shared" ref="I31:I37" si="4">H31*F31</f>
        <v>1019.6362319999999</v>
      </c>
      <c r="J31" s="1"/>
      <c r="K31" s="1"/>
      <c r="L31" s="1"/>
    </row>
    <row r="32" spans="1:12" ht="17.25" hidden="1" customHeight="1" x14ac:dyDescent="0.25">
      <c r="A32" s="6" t="s">
        <v>82</v>
      </c>
      <c r="B32" s="15" t="s">
        <v>67</v>
      </c>
      <c r="C32" s="9" t="s">
        <v>10</v>
      </c>
      <c r="D32" s="152" t="s">
        <v>61</v>
      </c>
      <c r="E32" s="23" t="s">
        <v>20</v>
      </c>
      <c r="F32" s="139">
        <f>F31</f>
        <v>2</v>
      </c>
      <c r="G32" s="95">
        <v>164.2</v>
      </c>
      <c r="H32" s="95">
        <f>G32*H13+G32</f>
        <v>201.09573999999998</v>
      </c>
      <c r="I32" s="95">
        <f t="shared" si="4"/>
        <v>402.19147999999996</v>
      </c>
      <c r="J32" s="1"/>
      <c r="K32" s="1"/>
      <c r="L32" s="1"/>
    </row>
    <row r="33" spans="1:12" ht="29.25" hidden="1" customHeight="1" x14ac:dyDescent="0.25">
      <c r="A33" s="6" t="s">
        <v>177</v>
      </c>
      <c r="B33" s="15">
        <v>35276</v>
      </c>
      <c r="C33" s="100" t="s">
        <v>170</v>
      </c>
      <c r="D33" s="51" t="s">
        <v>169</v>
      </c>
      <c r="E33" s="47" t="s">
        <v>11</v>
      </c>
      <c r="F33" s="48">
        <f>MEMÓRIA!D17</f>
        <v>28</v>
      </c>
      <c r="G33" s="49">
        <v>205.64</v>
      </c>
      <c r="H33" s="95">
        <f>G33*H13+G33</f>
        <v>251.847308</v>
      </c>
      <c r="I33" s="50">
        <f t="shared" si="4"/>
        <v>7051.7246240000004</v>
      </c>
      <c r="J33" s="1"/>
      <c r="K33" s="1"/>
      <c r="L33" s="1"/>
    </row>
    <row r="34" spans="1:12" ht="45" hidden="1" x14ac:dyDescent="0.25">
      <c r="A34" s="6" t="s">
        <v>178</v>
      </c>
      <c r="B34" s="15">
        <v>35272</v>
      </c>
      <c r="C34" s="100" t="s">
        <v>170</v>
      </c>
      <c r="D34" s="51" t="s">
        <v>171</v>
      </c>
      <c r="E34" s="47" t="s">
        <v>11</v>
      </c>
      <c r="F34" s="48">
        <f>MEMÓRIA!D18</f>
        <v>9.6</v>
      </c>
      <c r="G34" s="49">
        <v>55.88</v>
      </c>
      <c r="H34" s="95">
        <f>H13*G34+G34</f>
        <v>68.436236000000008</v>
      </c>
      <c r="I34" s="50">
        <f t="shared" si="4"/>
        <v>656.98786560000008</v>
      </c>
      <c r="J34" s="1"/>
      <c r="K34" s="1"/>
      <c r="L34" s="1"/>
    </row>
    <row r="35" spans="1:12" ht="45" hidden="1" x14ac:dyDescent="0.25">
      <c r="A35" s="6" t="s">
        <v>179</v>
      </c>
      <c r="B35" s="15">
        <v>4472</v>
      </c>
      <c r="C35" s="100" t="s">
        <v>170</v>
      </c>
      <c r="D35" s="51" t="s">
        <v>172</v>
      </c>
      <c r="E35" s="47" t="s">
        <v>11</v>
      </c>
      <c r="F35" s="48">
        <f>MEMÓRIA!D19</f>
        <v>91</v>
      </c>
      <c r="G35" s="49">
        <v>37.44</v>
      </c>
      <c r="H35" s="95">
        <f>H13*G35+G35</f>
        <v>45.852767999999998</v>
      </c>
      <c r="I35" s="50">
        <f t="shared" si="4"/>
        <v>4172.6018880000001</v>
      </c>
      <c r="J35" s="1"/>
      <c r="K35" s="1"/>
      <c r="L35" s="1"/>
    </row>
    <row r="36" spans="1:12" ht="30" hidden="1" x14ac:dyDescent="0.25">
      <c r="A36" s="6" t="s">
        <v>180</v>
      </c>
      <c r="B36" s="15" t="s">
        <v>174</v>
      </c>
      <c r="C36" s="15" t="s">
        <v>10</v>
      </c>
      <c r="D36" s="51" t="s">
        <v>173</v>
      </c>
      <c r="E36" s="47" t="s">
        <v>11</v>
      </c>
      <c r="F36" s="48">
        <f>MEMÓRIA!D20</f>
        <v>128.6</v>
      </c>
      <c r="G36" s="49">
        <v>16.39</v>
      </c>
      <c r="H36" s="95">
        <f>G36*H13+G36</f>
        <v>20.072833000000003</v>
      </c>
      <c r="I36" s="50">
        <f t="shared" si="4"/>
        <v>2581.3663238000004</v>
      </c>
      <c r="J36" s="1"/>
      <c r="K36" s="1"/>
      <c r="L36" s="1"/>
    </row>
    <row r="37" spans="1:12" hidden="1" x14ac:dyDescent="0.25">
      <c r="A37" s="6" t="s">
        <v>248</v>
      </c>
      <c r="B37" s="1" t="s">
        <v>176</v>
      </c>
      <c r="C37" s="15" t="s">
        <v>10</v>
      </c>
      <c r="D37" s="152" t="s">
        <v>175</v>
      </c>
      <c r="E37" s="47" t="s">
        <v>11</v>
      </c>
      <c r="F37" s="48">
        <f>MEMÓRIA!D21</f>
        <v>61.04</v>
      </c>
      <c r="G37" s="49">
        <v>26.54</v>
      </c>
      <c r="H37" s="95">
        <f>G37*H13+G37</f>
        <v>32.503537999999999</v>
      </c>
      <c r="I37" s="50">
        <f t="shared" si="4"/>
        <v>1984.0159595199998</v>
      </c>
      <c r="J37" s="1"/>
      <c r="K37" s="1"/>
      <c r="L37" s="1"/>
    </row>
    <row r="38" spans="1:12" ht="29.25" customHeight="1" x14ac:dyDescent="0.25">
      <c r="A38" s="144" t="s">
        <v>34</v>
      </c>
      <c r="B38" s="141"/>
      <c r="C38" s="141"/>
      <c r="D38" s="153" t="s">
        <v>136</v>
      </c>
      <c r="E38" s="148"/>
      <c r="F38" s="149"/>
      <c r="G38" s="150"/>
      <c r="H38" s="154"/>
      <c r="I38" s="151">
        <f>'PLANILHA FINAL'!I34</f>
        <v>19381.880896709998</v>
      </c>
      <c r="J38" s="1"/>
      <c r="K38" s="159">
        <f>I38</f>
        <v>19381.880896709998</v>
      </c>
      <c r="L38" s="159"/>
    </row>
    <row r="39" spans="1:12" ht="16.5" hidden="1" customHeight="1" x14ac:dyDescent="0.25">
      <c r="A39" s="144" t="s">
        <v>35</v>
      </c>
      <c r="B39" s="141"/>
      <c r="C39" s="141"/>
      <c r="D39" s="153" t="s">
        <v>57</v>
      </c>
      <c r="E39" s="148"/>
      <c r="F39" s="149"/>
      <c r="G39" s="150"/>
      <c r="H39" s="154"/>
      <c r="I39" s="151"/>
      <c r="J39" s="1"/>
      <c r="K39" s="1"/>
      <c r="L39" s="1"/>
    </row>
    <row r="40" spans="1:12" ht="30" hidden="1" x14ac:dyDescent="0.25">
      <c r="A40" s="6" t="s">
        <v>139</v>
      </c>
      <c r="B40" s="15" t="s">
        <v>64</v>
      </c>
      <c r="C40" s="9" t="s">
        <v>10</v>
      </c>
      <c r="D40" s="33" t="s">
        <v>58</v>
      </c>
      <c r="E40" s="23" t="s">
        <v>20</v>
      </c>
      <c r="F40" s="139">
        <f>MEMÓRIA!D24</f>
        <v>0.89999999999999991</v>
      </c>
      <c r="G40" s="95">
        <v>58.41</v>
      </c>
      <c r="H40" s="95">
        <f>G40*H13+G40</f>
        <v>71.534727000000004</v>
      </c>
      <c r="I40" s="95">
        <f>H40*F40</f>
        <v>64.381254299999995</v>
      </c>
      <c r="J40" s="1"/>
      <c r="K40" s="1"/>
      <c r="L40" s="1"/>
    </row>
    <row r="41" spans="1:12" hidden="1" x14ac:dyDescent="0.25">
      <c r="A41" s="6" t="s">
        <v>140</v>
      </c>
      <c r="B41" s="23" t="s">
        <v>65</v>
      </c>
      <c r="C41" s="9" t="s">
        <v>10</v>
      </c>
      <c r="D41" s="25" t="s">
        <v>59</v>
      </c>
      <c r="E41" s="23" t="s">
        <v>20</v>
      </c>
      <c r="F41" s="139">
        <f>MEMÓRIA!D25</f>
        <v>0.15000000000000002</v>
      </c>
      <c r="G41" s="95">
        <v>144.71</v>
      </c>
      <c r="H41" s="95">
        <f>G41*H13+G41</f>
        <v>177.226337</v>
      </c>
      <c r="I41" s="95">
        <f t="shared" ref="I41:I46" si="5">H41*F41</f>
        <v>26.583950550000004</v>
      </c>
      <c r="J41" s="1"/>
      <c r="K41" s="1"/>
      <c r="L41" s="1"/>
    </row>
    <row r="42" spans="1:12" hidden="1" x14ac:dyDescent="0.25">
      <c r="A42" s="19" t="s">
        <v>141</v>
      </c>
      <c r="B42" s="23" t="s">
        <v>66</v>
      </c>
      <c r="C42" s="9" t="s">
        <v>10</v>
      </c>
      <c r="D42" s="25" t="s">
        <v>60</v>
      </c>
      <c r="E42" s="23" t="s">
        <v>20</v>
      </c>
      <c r="F42" s="139">
        <f>MEMÓRIA!D26</f>
        <v>0.89999999999999991</v>
      </c>
      <c r="G42" s="95">
        <v>416.28</v>
      </c>
      <c r="H42" s="95">
        <f>G42*H13+G42</f>
        <v>509.81811599999997</v>
      </c>
      <c r="I42" s="95">
        <f t="shared" si="5"/>
        <v>458.83630439999996</v>
      </c>
      <c r="J42" s="1"/>
      <c r="K42" s="1"/>
      <c r="L42" s="1"/>
    </row>
    <row r="43" spans="1:12" hidden="1" x14ac:dyDescent="0.25">
      <c r="A43" s="19" t="s">
        <v>142</v>
      </c>
      <c r="B43" s="15" t="s">
        <v>67</v>
      </c>
      <c r="C43" s="9" t="s">
        <v>10</v>
      </c>
      <c r="D43" s="152" t="s">
        <v>61</v>
      </c>
      <c r="E43" s="23" t="s">
        <v>20</v>
      </c>
      <c r="F43" s="139">
        <f>F42</f>
        <v>0.89999999999999991</v>
      </c>
      <c r="G43" s="95">
        <v>164.2</v>
      </c>
      <c r="H43" s="95">
        <f>G43*H13+G43</f>
        <v>201.09573999999998</v>
      </c>
      <c r="I43" s="95">
        <f>H43*F43</f>
        <v>180.98616599999997</v>
      </c>
      <c r="J43" s="1"/>
      <c r="K43" s="1"/>
      <c r="L43" s="1"/>
    </row>
    <row r="44" spans="1:12" hidden="1" x14ac:dyDescent="0.25">
      <c r="A44" s="19" t="s">
        <v>143</v>
      </c>
      <c r="B44" s="23" t="s">
        <v>68</v>
      </c>
      <c r="C44" s="9" t="s">
        <v>10</v>
      </c>
      <c r="D44" s="25" t="s">
        <v>62</v>
      </c>
      <c r="E44" s="23" t="s">
        <v>19</v>
      </c>
      <c r="F44" s="139">
        <f>MEMÓRIA!D27</f>
        <v>6</v>
      </c>
      <c r="G44" s="95">
        <v>96.34</v>
      </c>
      <c r="H44" s="95">
        <f>G44*H13+G44</f>
        <v>117.98759800000001</v>
      </c>
      <c r="I44" s="95">
        <f t="shared" si="5"/>
        <v>707.92558800000006</v>
      </c>
      <c r="J44" s="1"/>
      <c r="K44" s="1"/>
      <c r="L44" s="1"/>
    </row>
    <row r="45" spans="1:12" ht="24" hidden="1" x14ac:dyDescent="0.25">
      <c r="A45" s="19" t="s">
        <v>144</v>
      </c>
      <c r="B45" s="23" t="s">
        <v>69</v>
      </c>
      <c r="C45" s="9" t="s">
        <v>10</v>
      </c>
      <c r="D45" s="25" t="s">
        <v>63</v>
      </c>
      <c r="E45" s="23" t="s">
        <v>14</v>
      </c>
      <c r="F45" s="139">
        <f>MEMÓRIA!D28</f>
        <v>89.999999999999986</v>
      </c>
      <c r="G45" s="95">
        <v>11.59</v>
      </c>
      <c r="H45" s="95">
        <f>G45*H13+G45</f>
        <v>14.194272999999999</v>
      </c>
      <c r="I45" s="95">
        <f t="shared" si="5"/>
        <v>1277.4845699999996</v>
      </c>
      <c r="J45" s="1"/>
      <c r="K45" s="1"/>
      <c r="L45" s="1"/>
    </row>
    <row r="46" spans="1:12" ht="24" hidden="1" x14ac:dyDescent="0.25">
      <c r="A46" s="19" t="s">
        <v>241</v>
      </c>
      <c r="B46" s="23" t="str">
        <f>'[2]desonerado-181'!$A$669</f>
        <v>12.01.021</v>
      </c>
      <c r="C46" s="9" t="s">
        <v>10</v>
      </c>
      <c r="D46" s="25" t="str">
        <f>'[2]desonerado-181'!$B$669</f>
        <v>Broca em concreto armado diâmetro de 20 cm - completa</v>
      </c>
      <c r="E46" s="23" t="s">
        <v>11</v>
      </c>
      <c r="F46" s="139">
        <f>MEMÓRIA!D29</f>
        <v>15</v>
      </c>
      <c r="G46" s="95">
        <v>62.42</v>
      </c>
      <c r="H46" s="95">
        <f>G46*H13+G46</f>
        <v>76.445774</v>
      </c>
      <c r="I46" s="95">
        <f t="shared" si="5"/>
        <v>1146.68661</v>
      </c>
      <c r="J46" s="1"/>
      <c r="K46" s="1"/>
      <c r="L46" s="1"/>
    </row>
    <row r="47" spans="1:12" hidden="1" x14ac:dyDescent="0.25">
      <c r="A47" s="144" t="s">
        <v>36</v>
      </c>
      <c r="B47" s="141"/>
      <c r="C47" s="141"/>
      <c r="D47" s="153" t="s">
        <v>70</v>
      </c>
      <c r="E47" s="148"/>
      <c r="F47" s="149"/>
      <c r="G47" s="150"/>
      <c r="H47" s="154"/>
      <c r="I47" s="151"/>
      <c r="J47" s="1"/>
      <c r="K47" s="1"/>
      <c r="L47" s="1"/>
    </row>
    <row r="48" spans="1:12" hidden="1" x14ac:dyDescent="0.25">
      <c r="A48" s="6" t="s">
        <v>145</v>
      </c>
      <c r="B48" s="23" t="s">
        <v>66</v>
      </c>
      <c r="C48" s="9" t="s">
        <v>10</v>
      </c>
      <c r="D48" s="25" t="s">
        <v>60</v>
      </c>
      <c r="E48" s="23" t="s">
        <v>20</v>
      </c>
      <c r="F48" s="139">
        <f>MEMÓRIA!D31</f>
        <v>0.875</v>
      </c>
      <c r="G48" s="95">
        <v>416.28</v>
      </c>
      <c r="H48" s="95">
        <f>G48*H18+G48</f>
        <v>875.11630439999999</v>
      </c>
      <c r="I48" s="95">
        <f t="shared" ref="I48:I51" si="6">H48*F48</f>
        <v>765.72676634999993</v>
      </c>
      <c r="J48" s="1"/>
      <c r="K48" s="1"/>
      <c r="L48" s="1"/>
    </row>
    <row r="49" spans="1:12" hidden="1" x14ac:dyDescent="0.25">
      <c r="A49" s="6" t="s">
        <v>146</v>
      </c>
      <c r="B49" s="15" t="s">
        <v>243</v>
      </c>
      <c r="C49" s="9" t="s">
        <v>10</v>
      </c>
      <c r="D49" s="152" t="s">
        <v>242</v>
      </c>
      <c r="E49" s="23" t="s">
        <v>20</v>
      </c>
      <c r="F49" s="139">
        <f>F48</f>
        <v>0.875</v>
      </c>
      <c r="G49" s="95">
        <v>113.42</v>
      </c>
      <c r="H49" s="95">
        <f>G49*H13+G49</f>
        <v>138.905474</v>
      </c>
      <c r="I49" s="95">
        <f>H49*F49</f>
        <v>121.54228974999999</v>
      </c>
      <c r="J49" s="1"/>
      <c r="K49" s="1"/>
      <c r="L49" s="1"/>
    </row>
    <row r="50" spans="1:12" hidden="1" x14ac:dyDescent="0.25">
      <c r="A50" s="6" t="s">
        <v>147</v>
      </c>
      <c r="B50" s="23" t="s">
        <v>68</v>
      </c>
      <c r="C50" s="9" t="s">
        <v>10</v>
      </c>
      <c r="D50" s="25" t="s">
        <v>62</v>
      </c>
      <c r="E50" s="23" t="s">
        <v>19</v>
      </c>
      <c r="F50" s="139">
        <f>MEMÓRIA!D32</f>
        <v>14</v>
      </c>
      <c r="G50" s="95">
        <v>96.34</v>
      </c>
      <c r="H50" s="95">
        <f>G50*H18+G50</f>
        <v>202.5288382</v>
      </c>
      <c r="I50" s="95">
        <f t="shared" si="6"/>
        <v>2835.4037348000002</v>
      </c>
      <c r="J50" s="1"/>
      <c r="K50" s="1"/>
      <c r="L50" s="1"/>
    </row>
    <row r="51" spans="1:12" ht="24" hidden="1" x14ac:dyDescent="0.25">
      <c r="A51" s="6" t="s">
        <v>244</v>
      </c>
      <c r="B51" s="23" t="s">
        <v>69</v>
      </c>
      <c r="C51" s="9" t="s">
        <v>10</v>
      </c>
      <c r="D51" s="25" t="s">
        <v>63</v>
      </c>
      <c r="E51" s="23" t="s">
        <v>14</v>
      </c>
      <c r="F51" s="139">
        <f>MEMÓRIA!D33</f>
        <v>87.5</v>
      </c>
      <c r="G51" s="95">
        <v>11.59</v>
      </c>
      <c r="H51" s="95">
        <f>G51*H18+G51</f>
        <v>24.3648457</v>
      </c>
      <c r="I51" s="95">
        <f t="shared" si="6"/>
        <v>2131.92399875</v>
      </c>
      <c r="J51" s="1"/>
      <c r="K51" s="1"/>
      <c r="L51" s="1"/>
    </row>
    <row r="52" spans="1:12" hidden="1" x14ac:dyDescent="0.25">
      <c r="A52" s="144" t="s">
        <v>88</v>
      </c>
      <c r="B52" s="141"/>
      <c r="C52" s="141"/>
      <c r="D52" s="153" t="s">
        <v>137</v>
      </c>
      <c r="E52" s="148"/>
      <c r="F52" s="149"/>
      <c r="G52" s="150"/>
      <c r="H52" s="154"/>
      <c r="I52" s="151"/>
      <c r="J52" s="1"/>
      <c r="K52" s="1"/>
      <c r="L52" s="1"/>
    </row>
    <row r="53" spans="1:12" ht="30" hidden="1" x14ac:dyDescent="0.25">
      <c r="A53" s="6" t="s">
        <v>148</v>
      </c>
      <c r="B53" s="15" t="s">
        <v>38</v>
      </c>
      <c r="C53" s="15" t="s">
        <v>10</v>
      </c>
      <c r="D53" s="33" t="s">
        <v>37</v>
      </c>
      <c r="E53" s="47" t="s">
        <v>19</v>
      </c>
      <c r="F53" s="48">
        <f>MEMÓRIA!D35</f>
        <v>4.8000000000000007</v>
      </c>
      <c r="G53" s="49">
        <v>76.650000000000006</v>
      </c>
      <c r="H53" s="95">
        <f>G53*H13+G53</f>
        <v>93.873255</v>
      </c>
      <c r="I53" s="50">
        <f>H53*F53</f>
        <v>450.59162400000008</v>
      </c>
      <c r="J53" s="1"/>
      <c r="K53" s="1"/>
      <c r="L53" s="1"/>
    </row>
    <row r="54" spans="1:12" hidden="1" x14ac:dyDescent="0.25">
      <c r="A54" s="6" t="s">
        <v>149</v>
      </c>
      <c r="B54" s="15" t="s">
        <v>32</v>
      </c>
      <c r="C54" s="15" t="s">
        <v>10</v>
      </c>
      <c r="D54" s="26" t="s">
        <v>30</v>
      </c>
      <c r="E54" s="47" t="s">
        <v>19</v>
      </c>
      <c r="F54" s="48">
        <f>MEMÓRIA!D36</f>
        <v>9.6</v>
      </c>
      <c r="G54" s="49">
        <v>6.67</v>
      </c>
      <c r="H54" s="95">
        <f>G54*H13+G54</f>
        <v>8.168749</v>
      </c>
      <c r="I54" s="50">
        <f>H54*F54</f>
        <v>78.419990400000003</v>
      </c>
      <c r="J54" s="1"/>
      <c r="K54" s="1"/>
      <c r="L54" s="1"/>
    </row>
    <row r="55" spans="1:12" hidden="1" x14ac:dyDescent="0.25">
      <c r="A55" s="6" t="s">
        <v>150</v>
      </c>
      <c r="B55" s="15" t="s">
        <v>29</v>
      </c>
      <c r="C55" s="15" t="s">
        <v>10</v>
      </c>
      <c r="D55" s="26" t="s">
        <v>28</v>
      </c>
      <c r="E55" s="47" t="s">
        <v>19</v>
      </c>
      <c r="F55" s="48">
        <f>MEMÓRIA!D37</f>
        <v>9.6</v>
      </c>
      <c r="G55" s="49">
        <v>20.75</v>
      </c>
      <c r="H55" s="95">
        <f>G55*H13+G55</f>
        <v>25.412525000000002</v>
      </c>
      <c r="I55" s="50">
        <f>H55*F55</f>
        <v>243.96024</v>
      </c>
      <c r="J55" s="1"/>
      <c r="K55" s="1"/>
      <c r="L55" s="1"/>
    </row>
    <row r="56" spans="1:12" hidden="1" x14ac:dyDescent="0.25">
      <c r="A56" s="6" t="s">
        <v>151</v>
      </c>
      <c r="B56" s="15" t="s">
        <v>33</v>
      </c>
      <c r="C56" s="15" t="s">
        <v>10</v>
      </c>
      <c r="D56" s="26" t="s">
        <v>31</v>
      </c>
      <c r="E56" s="47" t="s">
        <v>19</v>
      </c>
      <c r="F56" s="48">
        <f>MEMÓRIA!D38</f>
        <v>9.6</v>
      </c>
      <c r="G56" s="49">
        <v>12.49</v>
      </c>
      <c r="H56" s="95">
        <f>G56*H13+G56</f>
        <v>15.296503000000001</v>
      </c>
      <c r="I56" s="50">
        <f>H56*F56</f>
        <v>146.84642880000001</v>
      </c>
      <c r="J56" s="1"/>
      <c r="K56" s="1"/>
      <c r="L56" s="1"/>
    </row>
    <row r="57" spans="1:12" hidden="1" x14ac:dyDescent="0.25">
      <c r="A57" s="6" t="s">
        <v>152</v>
      </c>
      <c r="B57" s="23" t="s">
        <v>71</v>
      </c>
      <c r="C57" s="35" t="s">
        <v>10</v>
      </c>
      <c r="D57" s="25" t="s">
        <v>138</v>
      </c>
      <c r="E57" s="34" t="s">
        <v>19</v>
      </c>
      <c r="F57" s="139">
        <f>MEMÓRIA!D39</f>
        <v>9.6</v>
      </c>
      <c r="G57" s="95">
        <v>28.91</v>
      </c>
      <c r="H57" s="95">
        <f>G57*H13+G57</f>
        <v>35.406077000000003</v>
      </c>
      <c r="I57" s="95">
        <f>H57*F57</f>
        <v>339.89833920000001</v>
      </c>
      <c r="J57" s="1"/>
      <c r="K57" s="1"/>
      <c r="L57" s="1"/>
    </row>
    <row r="58" spans="1:12" ht="45" hidden="1" x14ac:dyDescent="0.25">
      <c r="A58" s="6" t="s">
        <v>215</v>
      </c>
      <c r="B58" s="15">
        <v>101090</v>
      </c>
      <c r="C58" s="9" t="s">
        <v>134</v>
      </c>
      <c r="D58" s="51" t="s">
        <v>168</v>
      </c>
      <c r="E58" s="23" t="s">
        <v>19</v>
      </c>
      <c r="F58" s="156">
        <f>MEMÓRIA!D40</f>
        <v>23.4</v>
      </c>
      <c r="G58" s="101">
        <v>182.74</v>
      </c>
      <c r="H58" s="101">
        <f>G58*H13+G58</f>
        <v>223.80167800000001</v>
      </c>
      <c r="I58" s="101">
        <f t="shared" ref="I58" si="7">H58*F58</f>
        <v>5236.9592652000001</v>
      </c>
      <c r="J58" s="1"/>
      <c r="K58" s="1"/>
      <c r="L58" s="1"/>
    </row>
    <row r="59" spans="1:12" hidden="1" x14ac:dyDescent="0.25">
      <c r="A59" s="144" t="s">
        <v>96</v>
      </c>
      <c r="B59" s="141"/>
      <c r="C59" s="141"/>
      <c r="D59" s="153" t="s">
        <v>51</v>
      </c>
      <c r="E59" s="148"/>
      <c r="F59" s="149"/>
      <c r="G59" s="150"/>
      <c r="H59" s="154"/>
      <c r="I59" s="151"/>
      <c r="J59" s="1"/>
      <c r="K59" s="1"/>
      <c r="L59" s="1"/>
    </row>
    <row r="60" spans="1:12" ht="30" hidden="1" x14ac:dyDescent="0.25">
      <c r="A60" s="6" t="s">
        <v>153</v>
      </c>
      <c r="B60" s="15" t="s">
        <v>106</v>
      </c>
      <c r="C60" s="34" t="s">
        <v>10</v>
      </c>
      <c r="D60" s="33" t="s">
        <v>104</v>
      </c>
      <c r="E60" s="34" t="s">
        <v>19</v>
      </c>
      <c r="F60" s="139">
        <f>MEMÓRIA!D42</f>
        <v>35.43</v>
      </c>
      <c r="G60" s="95">
        <v>151.83000000000001</v>
      </c>
      <c r="H60" s="95">
        <f>G60*H13+G60</f>
        <v>185.94620100000003</v>
      </c>
      <c r="I60" s="95">
        <f t="shared" ref="I60:I63" si="8">H60*F60</f>
        <v>6588.0739014300007</v>
      </c>
      <c r="J60" s="1"/>
      <c r="K60" s="1"/>
      <c r="L60" s="1"/>
    </row>
    <row r="61" spans="1:12" hidden="1" x14ac:dyDescent="0.25">
      <c r="A61" s="6" t="s">
        <v>154</v>
      </c>
      <c r="B61" s="15" t="s">
        <v>107</v>
      </c>
      <c r="C61" s="34" t="s">
        <v>10</v>
      </c>
      <c r="D61" s="26" t="s">
        <v>105</v>
      </c>
      <c r="E61" s="34" t="s">
        <v>19</v>
      </c>
      <c r="F61" s="139">
        <f>MEMÓRIA!D43</f>
        <v>38.264400000000002</v>
      </c>
      <c r="G61" s="95">
        <v>59.8</v>
      </c>
      <c r="H61" s="95">
        <f>G61*H13+G61</f>
        <v>73.23706</v>
      </c>
      <c r="I61" s="95">
        <f t="shared" si="8"/>
        <v>2802.3721586639999</v>
      </c>
      <c r="J61" s="1"/>
      <c r="K61" s="1"/>
      <c r="L61" s="1"/>
    </row>
    <row r="62" spans="1:12" ht="30" hidden="1" x14ac:dyDescent="0.25">
      <c r="A62" s="6" t="s">
        <v>155</v>
      </c>
      <c r="B62" s="15" t="s">
        <v>102</v>
      </c>
      <c r="C62" s="34" t="s">
        <v>10</v>
      </c>
      <c r="D62" s="33" t="s">
        <v>101</v>
      </c>
      <c r="E62" s="34" t="s">
        <v>11</v>
      </c>
      <c r="F62" s="139">
        <f>MEMÓRIA!D44</f>
        <v>18.5</v>
      </c>
      <c r="G62" s="95">
        <v>28.7</v>
      </c>
      <c r="H62" s="95">
        <f>G62*H13+G62</f>
        <v>35.148890000000002</v>
      </c>
      <c r="I62" s="95">
        <f t="shared" si="8"/>
        <v>650.25446499999998</v>
      </c>
      <c r="J62" s="1"/>
      <c r="K62" s="1"/>
      <c r="L62" s="1"/>
    </row>
    <row r="63" spans="1:12" hidden="1" x14ac:dyDescent="0.25">
      <c r="A63" s="6" t="s">
        <v>156</v>
      </c>
      <c r="B63" s="15" t="s">
        <v>109</v>
      </c>
      <c r="C63" s="34" t="s">
        <v>10</v>
      </c>
      <c r="D63" s="26" t="s">
        <v>108</v>
      </c>
      <c r="E63" s="34" t="s">
        <v>11</v>
      </c>
      <c r="F63" s="139">
        <f>MEMÓRIA!D45</f>
        <v>15</v>
      </c>
      <c r="G63" s="95">
        <v>35.83</v>
      </c>
      <c r="H63" s="95">
        <f>G63*H13+G63</f>
        <v>43.881000999999998</v>
      </c>
      <c r="I63" s="95">
        <f t="shared" si="8"/>
        <v>658.21501499999999</v>
      </c>
      <c r="J63" s="1"/>
      <c r="K63" s="1"/>
      <c r="L63" s="1"/>
    </row>
    <row r="64" spans="1:12" hidden="1" x14ac:dyDescent="0.25">
      <c r="A64" s="144" t="s">
        <v>97</v>
      </c>
      <c r="B64" s="141"/>
      <c r="C64" s="141"/>
      <c r="D64" s="153" t="s">
        <v>237</v>
      </c>
      <c r="E64" s="148"/>
      <c r="F64" s="149"/>
      <c r="G64" s="150"/>
      <c r="H64" s="154"/>
      <c r="I64" s="151"/>
      <c r="J64" s="1"/>
      <c r="K64" s="1"/>
      <c r="L64" s="1"/>
    </row>
    <row r="65" spans="1:12" ht="60" hidden="1" x14ac:dyDescent="0.25">
      <c r="A65" s="46" t="s">
        <v>240</v>
      </c>
      <c r="B65" s="34" t="s">
        <v>238</v>
      </c>
      <c r="C65" s="34" t="s">
        <v>10</v>
      </c>
      <c r="D65" s="51" t="s">
        <v>239</v>
      </c>
      <c r="E65" s="34" t="s">
        <v>12</v>
      </c>
      <c r="F65" s="139">
        <v>2</v>
      </c>
      <c r="G65" s="95">
        <v>271.02999999999997</v>
      </c>
      <c r="H65" s="95">
        <f>G65*H13+G65</f>
        <v>331.93044099999997</v>
      </c>
      <c r="I65" s="95">
        <f>H65*F65</f>
        <v>663.86088199999995</v>
      </c>
      <c r="J65" s="1"/>
      <c r="K65" s="1"/>
      <c r="L65" s="1"/>
    </row>
    <row r="66" spans="1:12" ht="27" customHeight="1" x14ac:dyDescent="0.25">
      <c r="A66" s="144" t="s">
        <v>39</v>
      </c>
      <c r="B66" s="141"/>
      <c r="C66" s="141"/>
      <c r="D66" s="153" t="s">
        <v>186</v>
      </c>
      <c r="E66" s="148"/>
      <c r="F66" s="149"/>
      <c r="G66" s="150"/>
      <c r="H66" s="154"/>
      <c r="I66" s="151">
        <f>'PLANILHA FINAL'!I45</f>
        <v>124625.00530765332</v>
      </c>
      <c r="J66" s="159">
        <f>I66/3</f>
        <v>41541.668435884443</v>
      </c>
      <c r="K66" s="159">
        <f>I66/3</f>
        <v>41541.668435884443</v>
      </c>
      <c r="L66" s="159">
        <f>I66/3</f>
        <v>41541.668435884443</v>
      </c>
    </row>
    <row r="67" spans="1:12" hidden="1" x14ac:dyDescent="0.25">
      <c r="A67" s="6" t="s">
        <v>40</v>
      </c>
      <c r="B67" s="231" t="s">
        <v>191</v>
      </c>
      <c r="C67" s="231"/>
      <c r="D67" s="51" t="s">
        <v>190</v>
      </c>
      <c r="E67" s="47" t="s">
        <v>12</v>
      </c>
      <c r="F67" s="48">
        <v>56</v>
      </c>
      <c r="G67" s="95">
        <f>'[3]quadro resumo orçamentos'!$D$7</f>
        <v>1366.7433333333331</v>
      </c>
      <c r="H67" s="95">
        <f>G67*H13+G67</f>
        <v>1673.8505603333331</v>
      </c>
      <c r="I67" s="50">
        <f>H67*F67</f>
        <v>93735.631378666658</v>
      </c>
      <c r="J67" s="1"/>
      <c r="K67" s="1"/>
      <c r="L67" s="1"/>
    </row>
    <row r="68" spans="1:12" ht="50.25" hidden="1" customHeight="1" x14ac:dyDescent="0.25">
      <c r="A68" s="6" t="s">
        <v>41</v>
      </c>
      <c r="B68" s="15">
        <v>101522</v>
      </c>
      <c r="C68" s="15" t="s">
        <v>134</v>
      </c>
      <c r="D68" s="51" t="s">
        <v>230</v>
      </c>
      <c r="E68" s="47" t="s">
        <v>12</v>
      </c>
      <c r="F68" s="48">
        <f>MEMÓRIA!D48</f>
        <v>1</v>
      </c>
      <c r="G68" s="49">
        <v>1146.7</v>
      </c>
      <c r="H68" s="95">
        <f>G68*H13+G68</f>
        <v>1404.3634900000002</v>
      </c>
      <c r="I68" s="50">
        <f>H68*F68</f>
        <v>1404.3634900000002</v>
      </c>
      <c r="J68" s="1"/>
      <c r="K68" s="1"/>
      <c r="L68" s="1"/>
    </row>
    <row r="69" spans="1:12" ht="30" hidden="1" x14ac:dyDescent="0.25">
      <c r="A69" s="6" t="s">
        <v>98</v>
      </c>
      <c r="B69" s="15" t="s">
        <v>64</v>
      </c>
      <c r="C69" s="9" t="s">
        <v>10</v>
      </c>
      <c r="D69" s="33" t="s">
        <v>58</v>
      </c>
      <c r="E69" s="23" t="s">
        <v>20</v>
      </c>
      <c r="F69" s="48">
        <f>MEMÓRIA!D49</f>
        <v>10.35</v>
      </c>
      <c r="G69" s="95">
        <v>58.41</v>
      </c>
      <c r="H69" s="95">
        <f>H13*G69+G69</f>
        <v>71.534727000000004</v>
      </c>
      <c r="I69" s="50">
        <f t="shared" ref="I69:I72" si="9">H69*F69</f>
        <v>740.38442444999998</v>
      </c>
      <c r="J69" s="1"/>
      <c r="K69" s="1"/>
      <c r="L69" s="1"/>
    </row>
    <row r="70" spans="1:12" hidden="1" x14ac:dyDescent="0.25">
      <c r="A70" s="6" t="s">
        <v>99</v>
      </c>
      <c r="B70" s="23" t="s">
        <v>66</v>
      </c>
      <c r="C70" s="9" t="s">
        <v>10</v>
      </c>
      <c r="D70" s="25" t="s">
        <v>60</v>
      </c>
      <c r="E70" s="23" t="s">
        <v>20</v>
      </c>
      <c r="F70" s="48">
        <f>MEMÓRIA!D50</f>
        <v>3.105</v>
      </c>
      <c r="G70" s="95">
        <v>416.28</v>
      </c>
      <c r="H70" s="95">
        <f>G70*H13+G70</f>
        <v>509.81811599999997</v>
      </c>
      <c r="I70" s="50"/>
      <c r="J70" s="1"/>
      <c r="K70" s="1"/>
      <c r="L70" s="1"/>
    </row>
    <row r="71" spans="1:12" hidden="1" x14ac:dyDescent="0.25">
      <c r="A71" s="6" t="s">
        <v>100</v>
      </c>
      <c r="B71" s="15" t="s">
        <v>67</v>
      </c>
      <c r="C71" s="9" t="s">
        <v>10</v>
      </c>
      <c r="D71" s="152" t="s">
        <v>61</v>
      </c>
      <c r="E71" s="23" t="s">
        <v>20</v>
      </c>
      <c r="F71" s="139">
        <f>F70</f>
        <v>3.105</v>
      </c>
      <c r="G71" s="95">
        <v>164.2</v>
      </c>
      <c r="H71" s="95">
        <f>G71*H13+G71</f>
        <v>201.09573999999998</v>
      </c>
      <c r="I71" s="95">
        <f>H71*F71</f>
        <v>624.40227269999991</v>
      </c>
      <c r="J71" s="1"/>
      <c r="K71" s="1"/>
      <c r="L71" s="1"/>
    </row>
    <row r="72" spans="1:12" hidden="1" x14ac:dyDescent="0.25">
      <c r="A72" s="6" t="s">
        <v>231</v>
      </c>
      <c r="B72" s="15" t="s">
        <v>222</v>
      </c>
      <c r="C72" s="9" t="s">
        <v>10</v>
      </c>
      <c r="D72" s="152" t="s">
        <v>223</v>
      </c>
      <c r="E72" s="47" t="s">
        <v>20</v>
      </c>
      <c r="F72" s="48">
        <f>MEMÓRIA!D51</f>
        <v>7.2449999999999992</v>
      </c>
      <c r="G72" s="49">
        <v>18.16</v>
      </c>
      <c r="H72" s="95">
        <f>H13*G72+G72</f>
        <v>22.240552000000001</v>
      </c>
      <c r="I72" s="50">
        <f t="shared" si="9"/>
        <v>161.13279924</v>
      </c>
      <c r="J72" s="1"/>
      <c r="K72" s="1"/>
      <c r="L72" s="1"/>
    </row>
    <row r="73" spans="1:12" ht="30" hidden="1" x14ac:dyDescent="0.25">
      <c r="A73" s="46" t="s">
        <v>232</v>
      </c>
      <c r="B73" s="15" t="s">
        <v>224</v>
      </c>
      <c r="C73" s="9" t="s">
        <v>10</v>
      </c>
      <c r="D73" s="51" t="s">
        <v>225</v>
      </c>
      <c r="E73" s="47" t="s">
        <v>11</v>
      </c>
      <c r="F73" s="48">
        <f>MEMÓRIA!D52</f>
        <v>638</v>
      </c>
      <c r="G73" s="49">
        <v>5.07</v>
      </c>
      <c r="H73" s="95">
        <f>H13*G73+G73</f>
        <v>6.2092290000000006</v>
      </c>
      <c r="I73" s="50">
        <f>H73*F73</f>
        <v>3961.4881020000003</v>
      </c>
      <c r="J73" s="1"/>
      <c r="K73" s="1"/>
      <c r="L73" s="1"/>
    </row>
    <row r="74" spans="1:12" ht="30" hidden="1" x14ac:dyDescent="0.25">
      <c r="A74" s="46" t="s">
        <v>233</v>
      </c>
      <c r="B74" s="15" t="s">
        <v>226</v>
      </c>
      <c r="C74" s="9" t="s">
        <v>10</v>
      </c>
      <c r="D74" s="51" t="s">
        <v>227</v>
      </c>
      <c r="E74" s="47" t="s">
        <v>11</v>
      </c>
      <c r="F74" s="48">
        <f>MEMÓRIA!D53</f>
        <v>600</v>
      </c>
      <c r="G74" s="49">
        <v>7.16</v>
      </c>
      <c r="H74" s="95">
        <f>G74*H13+G74</f>
        <v>8.7688520000000008</v>
      </c>
      <c r="I74" s="50">
        <f>H74*F74</f>
        <v>5261.3112000000001</v>
      </c>
      <c r="J74" s="1"/>
      <c r="K74" s="1"/>
      <c r="L74" s="1"/>
    </row>
    <row r="75" spans="1:12" hidden="1" x14ac:dyDescent="0.25">
      <c r="A75" s="46" t="s">
        <v>245</v>
      </c>
      <c r="B75" s="15" t="s">
        <v>228</v>
      </c>
      <c r="C75" s="9" t="s">
        <v>10</v>
      </c>
      <c r="D75" s="152" t="s">
        <v>229</v>
      </c>
      <c r="E75" s="23" t="s">
        <v>11</v>
      </c>
      <c r="F75" s="48">
        <f>MEMÓRIA!D54</f>
        <v>140</v>
      </c>
      <c r="G75" s="95">
        <v>30.32</v>
      </c>
      <c r="H75" s="95">
        <f>G75*H13+G75</f>
        <v>37.132904000000003</v>
      </c>
      <c r="I75" s="50">
        <f>H75*F75</f>
        <v>5198.6065600000002</v>
      </c>
      <c r="J75" s="1"/>
      <c r="K75" s="1"/>
      <c r="L75" s="1"/>
    </row>
    <row r="76" spans="1:12" ht="31.5" customHeight="1" x14ac:dyDescent="0.25">
      <c r="A76" s="144" t="s">
        <v>42</v>
      </c>
      <c r="B76" s="141"/>
      <c r="C76" s="141"/>
      <c r="D76" s="153" t="s">
        <v>192</v>
      </c>
      <c r="E76" s="148"/>
      <c r="F76" s="149"/>
      <c r="G76" s="150"/>
      <c r="H76" s="154"/>
      <c r="I76" s="151">
        <f>'PLANILHA FINAL'!I54</f>
        <v>32072.737527999998</v>
      </c>
      <c r="J76" s="1"/>
      <c r="K76" s="1"/>
      <c r="L76" s="159">
        <f>I76</f>
        <v>32072.737527999998</v>
      </c>
    </row>
    <row r="77" spans="1:12" ht="16.5" hidden="1" customHeight="1" x14ac:dyDescent="0.25">
      <c r="A77" s="6" t="s">
        <v>43</v>
      </c>
      <c r="B77" s="15" t="s">
        <v>194</v>
      </c>
      <c r="C77" s="15" t="s">
        <v>10</v>
      </c>
      <c r="D77" s="152" t="s">
        <v>193</v>
      </c>
      <c r="E77" s="47" t="s">
        <v>12</v>
      </c>
      <c r="F77" s="48">
        <v>24</v>
      </c>
      <c r="G77" s="49">
        <v>496.08</v>
      </c>
      <c r="H77" s="95">
        <f>G77*H13+G77</f>
        <v>607.54917599999999</v>
      </c>
      <c r="I77" s="50">
        <f>H77*F77</f>
        <v>14581.180224</v>
      </c>
      <c r="J77" s="1"/>
      <c r="K77" s="1"/>
      <c r="L77" s="1"/>
    </row>
    <row r="78" spans="1:12" ht="15.75" hidden="1" customHeight="1" x14ac:dyDescent="0.25">
      <c r="A78" s="6" t="s">
        <v>44</v>
      </c>
      <c r="B78" s="15" t="s">
        <v>196</v>
      </c>
      <c r="C78" s="15" t="s">
        <v>10</v>
      </c>
      <c r="D78" s="152" t="s">
        <v>195</v>
      </c>
      <c r="E78" s="47" t="s">
        <v>12</v>
      </c>
      <c r="F78" s="48">
        <v>1</v>
      </c>
      <c r="G78" s="49">
        <v>4893.8500000000004</v>
      </c>
      <c r="H78" s="95">
        <f>G78*H13+G78</f>
        <v>5993.4980950000008</v>
      </c>
      <c r="I78" s="50">
        <f>H78*F78</f>
        <v>5993.4980950000008</v>
      </c>
      <c r="J78" s="1"/>
      <c r="K78" s="1"/>
      <c r="L78" s="1"/>
    </row>
    <row r="79" spans="1:12" ht="15.75" hidden="1" customHeight="1" x14ac:dyDescent="0.25">
      <c r="A79" s="6" t="s">
        <v>45</v>
      </c>
      <c r="B79" s="15" t="s">
        <v>198</v>
      </c>
      <c r="C79" s="15" t="s">
        <v>10</v>
      </c>
      <c r="D79" s="152" t="s">
        <v>197</v>
      </c>
      <c r="E79" s="47" t="s">
        <v>12</v>
      </c>
      <c r="F79" s="48">
        <v>1</v>
      </c>
      <c r="G79" s="49">
        <v>1624.47</v>
      </c>
      <c r="H79" s="95">
        <f>G79*H13+G79</f>
        <v>1989.488409</v>
      </c>
      <c r="I79" s="50">
        <f>H79*F79</f>
        <v>1989.488409</v>
      </c>
      <c r="J79" s="1"/>
      <c r="K79" s="1"/>
      <c r="L79" s="1"/>
    </row>
    <row r="80" spans="1:12" hidden="1" x14ac:dyDescent="0.25">
      <c r="A80" s="6" t="s">
        <v>46</v>
      </c>
      <c r="B80" s="15" t="s">
        <v>200</v>
      </c>
      <c r="C80" s="15" t="s">
        <v>10</v>
      </c>
      <c r="D80" s="152" t="s">
        <v>199</v>
      </c>
      <c r="E80" s="47" t="s">
        <v>12</v>
      </c>
      <c r="F80" s="48">
        <v>1</v>
      </c>
      <c r="G80" s="49">
        <v>1347.15</v>
      </c>
      <c r="H80" s="95">
        <f>H13*G80+G80</f>
        <v>1649.854605</v>
      </c>
      <c r="I80" s="50">
        <f>F80*H80</f>
        <v>1649.854605</v>
      </c>
      <c r="J80" s="1"/>
      <c r="K80" s="1"/>
      <c r="L80" s="1"/>
    </row>
    <row r="81" spans="1:14" hidden="1" x14ac:dyDescent="0.25">
      <c r="A81" s="6" t="s">
        <v>47</v>
      </c>
      <c r="B81" s="15" t="s">
        <v>202</v>
      </c>
      <c r="C81" s="15" t="s">
        <v>10</v>
      </c>
      <c r="D81" s="152" t="s">
        <v>201</v>
      </c>
      <c r="E81" s="47" t="s">
        <v>12</v>
      </c>
      <c r="F81" s="48">
        <v>1</v>
      </c>
      <c r="G81" s="49">
        <v>1750.59</v>
      </c>
      <c r="H81" s="95">
        <f>H13*G81+G81</f>
        <v>2143.9475729999999</v>
      </c>
      <c r="I81" s="50">
        <f>H81*F81</f>
        <v>2143.9475729999999</v>
      </c>
      <c r="J81" s="1"/>
      <c r="K81" s="1"/>
      <c r="L81" s="1"/>
    </row>
    <row r="82" spans="1:14" ht="62.25" hidden="1" customHeight="1" x14ac:dyDescent="0.25">
      <c r="A82" s="6" t="s">
        <v>48</v>
      </c>
      <c r="B82" s="15">
        <v>103189</v>
      </c>
      <c r="C82" s="15" t="s">
        <v>134</v>
      </c>
      <c r="D82" s="51" t="s">
        <v>203</v>
      </c>
      <c r="E82" s="47" t="s">
        <v>12</v>
      </c>
      <c r="F82" s="48">
        <v>1</v>
      </c>
      <c r="G82" s="49">
        <v>2581.8000000000002</v>
      </c>
      <c r="H82" s="95">
        <f>H13*G82+G82</f>
        <v>3161.9304600000005</v>
      </c>
      <c r="I82" s="50">
        <f>H82*F82</f>
        <v>3161.9304600000005</v>
      </c>
      <c r="J82" s="1"/>
      <c r="K82" s="1"/>
      <c r="L82" s="1"/>
    </row>
    <row r="83" spans="1:14" ht="75" hidden="1" x14ac:dyDescent="0.25">
      <c r="A83" s="6" t="s">
        <v>78</v>
      </c>
      <c r="B83" s="15">
        <v>103192</v>
      </c>
      <c r="C83" s="15" t="s">
        <v>134</v>
      </c>
      <c r="D83" s="51" t="s">
        <v>204</v>
      </c>
      <c r="E83" s="47" t="s">
        <v>12</v>
      </c>
      <c r="F83" s="48">
        <v>1</v>
      </c>
      <c r="G83" s="49">
        <v>2480.8000000000002</v>
      </c>
      <c r="H83" s="95">
        <f>H13*G83+G83</f>
        <v>3038.2357600000005</v>
      </c>
      <c r="I83" s="50">
        <f>H83*F83</f>
        <v>3038.2357600000005</v>
      </c>
      <c r="J83" s="1"/>
      <c r="K83" s="1"/>
      <c r="L83" s="1"/>
    </row>
    <row r="84" spans="1:14" ht="90" hidden="1" x14ac:dyDescent="0.25">
      <c r="A84" s="6" t="s">
        <v>79</v>
      </c>
      <c r="B84" s="15">
        <v>103193</v>
      </c>
      <c r="C84" s="15" t="s">
        <v>134</v>
      </c>
      <c r="D84" s="51" t="s">
        <v>205</v>
      </c>
      <c r="E84" s="47" t="s">
        <v>12</v>
      </c>
      <c r="F84" s="48">
        <v>1</v>
      </c>
      <c r="G84" s="49">
        <v>1910.03</v>
      </c>
      <c r="H84" s="95">
        <f>H13*G84+G84</f>
        <v>2339.213741</v>
      </c>
      <c r="I84" s="50">
        <f>H84*F84</f>
        <v>2339.213741</v>
      </c>
      <c r="J84" s="1"/>
      <c r="K84" s="1"/>
      <c r="L84" s="1"/>
    </row>
    <row r="85" spans="1:14" ht="75" hidden="1" x14ac:dyDescent="0.25">
      <c r="A85" s="46" t="s">
        <v>80</v>
      </c>
      <c r="B85" s="15">
        <v>103194</v>
      </c>
      <c r="C85" s="15" t="s">
        <v>134</v>
      </c>
      <c r="D85" s="51" t="s">
        <v>206</v>
      </c>
      <c r="E85" s="47" t="s">
        <v>12</v>
      </c>
      <c r="F85" s="48">
        <v>1</v>
      </c>
      <c r="G85" s="49">
        <v>2752.51</v>
      </c>
      <c r="H85" s="95">
        <f>H13*G85+G85</f>
        <v>3370.9989970000001</v>
      </c>
      <c r="I85" s="50">
        <f>H85*F85</f>
        <v>3370.9989970000001</v>
      </c>
      <c r="J85" s="1"/>
      <c r="K85" s="1"/>
      <c r="L85" s="1"/>
    </row>
    <row r="86" spans="1:14" ht="75" hidden="1" x14ac:dyDescent="0.25">
      <c r="A86" s="46" t="s">
        <v>110</v>
      </c>
      <c r="B86" s="15">
        <v>103191</v>
      </c>
      <c r="C86" s="15" t="s">
        <v>134</v>
      </c>
      <c r="D86" s="51" t="s">
        <v>207</v>
      </c>
      <c r="E86" s="47" t="s">
        <v>12</v>
      </c>
      <c r="F86" s="48">
        <v>1</v>
      </c>
      <c r="G86" s="49">
        <v>2329.94</v>
      </c>
      <c r="H86" s="95">
        <f>H13*G86+G86</f>
        <v>2853.4775180000001</v>
      </c>
      <c r="I86" s="50">
        <f t="shared" ref="I86:I87" si="10">H86*F86</f>
        <v>2853.4775180000001</v>
      </c>
      <c r="J86" s="1"/>
      <c r="K86" s="1"/>
      <c r="L86" s="1"/>
    </row>
    <row r="87" spans="1:14" ht="75" hidden="1" x14ac:dyDescent="0.25">
      <c r="A87" s="6" t="s">
        <v>210</v>
      </c>
      <c r="B87" s="15">
        <v>103190</v>
      </c>
      <c r="C87" s="15" t="s">
        <v>134</v>
      </c>
      <c r="D87" s="51" t="s">
        <v>208</v>
      </c>
      <c r="E87" s="47" t="s">
        <v>12</v>
      </c>
      <c r="F87" s="48">
        <v>1</v>
      </c>
      <c r="G87" s="49">
        <v>4002.48</v>
      </c>
      <c r="H87" s="95">
        <f>H13*G87+G87</f>
        <v>4901.8372559999998</v>
      </c>
      <c r="I87" s="50">
        <f t="shared" si="10"/>
        <v>4901.8372559999998</v>
      </c>
      <c r="J87" s="1"/>
      <c r="K87" s="1"/>
      <c r="L87" s="1"/>
    </row>
    <row r="88" spans="1:14" ht="68.25" hidden="1" customHeight="1" x14ac:dyDescent="0.25">
      <c r="A88" s="6" t="s">
        <v>211</v>
      </c>
      <c r="B88" s="15">
        <v>103187</v>
      </c>
      <c r="C88" s="15" t="s">
        <v>134</v>
      </c>
      <c r="D88" s="51" t="s">
        <v>209</v>
      </c>
      <c r="E88" s="47" t="s">
        <v>12</v>
      </c>
      <c r="F88" s="48">
        <v>1</v>
      </c>
      <c r="G88" s="49">
        <v>4791.22</v>
      </c>
      <c r="H88" s="95">
        <f>H13*G88+G88</f>
        <v>5867.8071340000006</v>
      </c>
      <c r="I88" s="50">
        <f>H88*F88</f>
        <v>5867.8071340000006</v>
      </c>
      <c r="J88" s="1"/>
      <c r="K88" s="1"/>
      <c r="L88" s="1"/>
    </row>
    <row r="89" spans="1:14" ht="32.25" customHeight="1" x14ac:dyDescent="0.25">
      <c r="A89" s="144" t="s">
        <v>49</v>
      </c>
      <c r="B89" s="141"/>
      <c r="C89" s="141"/>
      <c r="D89" s="153" t="s">
        <v>212</v>
      </c>
      <c r="E89" s="148"/>
      <c r="F89" s="149"/>
      <c r="G89" s="150"/>
      <c r="H89" s="154"/>
      <c r="I89" s="151">
        <f>'PLANILHA FINAL'!I60</f>
        <v>43839.543067949999</v>
      </c>
      <c r="J89" s="159">
        <f>I89/2</f>
        <v>21919.771533974999</v>
      </c>
      <c r="K89" s="159">
        <f>I89/2</f>
        <v>21919.771533974999</v>
      </c>
      <c r="L89" s="159"/>
    </row>
    <row r="90" spans="1:14" s="102" customFormat="1" ht="18" hidden="1" customHeight="1" x14ac:dyDescent="0.25">
      <c r="A90" s="6" t="s">
        <v>50</v>
      </c>
      <c r="B90" s="1" t="s">
        <v>214</v>
      </c>
      <c r="C90" s="35" t="s">
        <v>10</v>
      </c>
      <c r="D90" s="1" t="s">
        <v>213</v>
      </c>
      <c r="E90" s="9" t="s">
        <v>19</v>
      </c>
      <c r="F90" s="48">
        <v>3101.87</v>
      </c>
      <c r="G90" s="49">
        <v>13.51</v>
      </c>
      <c r="H90" s="101">
        <f>G90*H13+G90</f>
        <v>16.545697000000001</v>
      </c>
      <c r="I90" s="50">
        <f>H90*F90</f>
        <v>51322.601153390002</v>
      </c>
      <c r="J90" s="158"/>
      <c r="K90" s="158"/>
      <c r="L90" s="158"/>
    </row>
    <row r="91" spans="1:14" ht="29.25" customHeight="1" x14ac:dyDescent="0.25">
      <c r="A91" s="37"/>
      <c r="B91" s="38"/>
      <c r="C91" s="38"/>
      <c r="D91" s="160" t="s">
        <v>249</v>
      </c>
      <c r="E91" s="224" t="s">
        <v>72</v>
      </c>
      <c r="F91" s="224"/>
      <c r="G91" s="224"/>
      <c r="H91" s="224"/>
      <c r="I91" s="40">
        <f>I89+I76+I66+I38+I29+I24+I17</f>
        <v>287006.05430395331</v>
      </c>
      <c r="J91" s="146">
        <f>SUM(J17:J89)</f>
        <v>87458.473120839437</v>
      </c>
      <c r="K91" s="146">
        <f>SUM(K17:K89)</f>
        <v>125933.17521922944</v>
      </c>
      <c r="L91" s="146">
        <f>SUM(L17:L89)</f>
        <v>73614.405963884434</v>
      </c>
    </row>
    <row r="93" spans="1:14" x14ac:dyDescent="0.25">
      <c r="E93" s="221"/>
      <c r="F93" s="221"/>
      <c r="G93" s="221"/>
      <c r="H93" s="221"/>
      <c r="I93" s="221"/>
      <c r="J93" s="221" t="s">
        <v>275</v>
      </c>
      <c r="K93" s="221"/>
      <c r="L93" s="221"/>
    </row>
    <row r="94" spans="1:14" x14ac:dyDescent="0.25">
      <c r="E94" s="181"/>
      <c r="F94" s="181"/>
      <c r="G94" s="181"/>
      <c r="H94" s="181"/>
      <c r="I94" s="181"/>
      <c r="J94" s="181"/>
      <c r="K94" s="181"/>
      <c r="L94" s="181"/>
      <c r="N94" s="212"/>
    </row>
    <row r="95" spans="1:14" x14ac:dyDescent="0.25">
      <c r="F95" s="181"/>
      <c r="J95" s="221" t="s">
        <v>276</v>
      </c>
      <c r="K95" s="221"/>
      <c r="L95" s="221"/>
    </row>
    <row r="96" spans="1:14" x14ac:dyDescent="0.25">
      <c r="E96" s="221"/>
      <c r="F96" s="221"/>
      <c r="G96" s="221"/>
      <c r="H96" s="221"/>
      <c r="I96" s="221"/>
      <c r="J96" s="221" t="s">
        <v>273</v>
      </c>
      <c r="K96" s="221"/>
      <c r="L96" s="221"/>
    </row>
    <row r="97" spans="5:12" x14ac:dyDescent="0.25">
      <c r="E97" s="221"/>
      <c r="F97" s="221"/>
      <c r="G97" s="221"/>
      <c r="H97" s="221"/>
      <c r="I97" s="221"/>
      <c r="J97" s="221" t="s">
        <v>277</v>
      </c>
      <c r="K97" s="221"/>
      <c r="L97" s="221"/>
    </row>
    <row r="98" spans="5:12" x14ac:dyDescent="0.25">
      <c r="E98" s="221"/>
      <c r="F98" s="221"/>
      <c r="G98" s="221"/>
      <c r="H98" s="221"/>
      <c r="I98" s="221"/>
      <c r="J98" s="221"/>
      <c r="K98" s="221"/>
      <c r="L98" s="221"/>
    </row>
    <row r="99" spans="5:12" x14ac:dyDescent="0.25">
      <c r="E99" s="221"/>
      <c r="F99" s="221"/>
      <c r="G99" s="221"/>
      <c r="H99" s="221"/>
      <c r="I99" s="221"/>
    </row>
  </sheetData>
  <mergeCells count="15">
    <mergeCell ref="E99:I99"/>
    <mergeCell ref="G5:G7"/>
    <mergeCell ref="A8:I8"/>
    <mergeCell ref="G9:G12"/>
    <mergeCell ref="B67:C67"/>
    <mergeCell ref="E91:H91"/>
    <mergeCell ref="E93:I93"/>
    <mergeCell ref="J93:L93"/>
    <mergeCell ref="J96:L96"/>
    <mergeCell ref="J97:L97"/>
    <mergeCell ref="J98:L98"/>
    <mergeCell ref="E96:I96"/>
    <mergeCell ref="E97:I97"/>
    <mergeCell ref="E98:I98"/>
    <mergeCell ref="J95:L95"/>
  </mergeCells>
  <conditionalFormatting sqref="A17:I17 A19:A20 I34:I35 E34:G35 I74:I75 F74:F75 E38:G39 I38:I39 E19:I20 C19:C20 E22:I22 C22 A22:A28 A60:A63 A38:A40 E67:F67 I67:I70 F68:F70 F80:G85 F87:G88 A55:A58 A80:A88 I80:I88 A42:A46 A67:A75 F72 I72 A33:A36 A65">
    <cfRule type="expression" dxfId="199" priority="110">
      <formula>IF($L17="I",TRUE,FALSE)</formula>
    </cfRule>
    <cfRule type="expression" dxfId="198" priority="111">
      <formula>IF($L17="T",TRUE,FALSE)</formula>
    </cfRule>
  </conditionalFormatting>
  <conditionalFormatting sqref="C17 C19:C20 C22">
    <cfRule type="expression" dxfId="197" priority="109">
      <formula>IF($L17="I",TRUE,FALSE)</formula>
    </cfRule>
  </conditionalFormatting>
  <conditionalFormatting sqref="A41">
    <cfRule type="expression" dxfId="196" priority="107">
      <formula>IF($L41="I",TRUE,FALSE)</formula>
    </cfRule>
    <cfRule type="expression" dxfId="195" priority="108">
      <formula>IF($L41="T",TRUE,FALSE)</formula>
    </cfRule>
  </conditionalFormatting>
  <conditionalFormatting sqref="A59 I59 E59:G59">
    <cfRule type="expression" dxfId="194" priority="105">
      <formula>IF($L59="I",TRUE,FALSE)</formula>
    </cfRule>
    <cfRule type="expression" dxfId="193" priority="106">
      <formula>IF($L59="T",TRUE,FALSE)</formula>
    </cfRule>
  </conditionalFormatting>
  <conditionalFormatting sqref="E29:G29 I29 A29">
    <cfRule type="expression" dxfId="192" priority="103">
      <formula>IF($L29="I",TRUE,FALSE)</formula>
    </cfRule>
    <cfRule type="expression" dxfId="191" priority="104">
      <formula>IF($L29="T",TRUE,FALSE)</formula>
    </cfRule>
  </conditionalFormatting>
  <conditionalFormatting sqref="A66 I66 E66:G66">
    <cfRule type="expression" dxfId="190" priority="101">
      <formula>IF($L66="I",TRUE,FALSE)</formula>
    </cfRule>
    <cfRule type="expression" dxfId="189" priority="102">
      <formula>IF($L66="T",TRUE,FALSE)</formula>
    </cfRule>
  </conditionalFormatting>
  <conditionalFormatting sqref="A76 I76 E76:G76">
    <cfRule type="expression" dxfId="188" priority="99">
      <formula>IF($L76="I",TRUE,FALSE)</formula>
    </cfRule>
    <cfRule type="expression" dxfId="187" priority="100">
      <formula>IF($L76="T",TRUE,FALSE)</formula>
    </cfRule>
  </conditionalFormatting>
  <conditionalFormatting sqref="A89:A90 I89:I90 E89:G89 F90:G90">
    <cfRule type="expression" dxfId="186" priority="97">
      <formula>IF($L89="I",TRUE,FALSE)</formula>
    </cfRule>
    <cfRule type="expression" dxfId="185" priority="98">
      <formula>IF($L89="T",TRUE,FALSE)</formula>
    </cfRule>
  </conditionalFormatting>
  <conditionalFormatting sqref="I18 E18:G18 A18">
    <cfRule type="expression" dxfId="184" priority="95">
      <formula>IF($L18="I",TRUE,FALSE)</formula>
    </cfRule>
    <cfRule type="expression" dxfId="183" priority="96">
      <formula>IF($L18="T",TRUE,FALSE)</formula>
    </cfRule>
  </conditionalFormatting>
  <conditionalFormatting sqref="I21 E21:G21 A21">
    <cfRule type="expression" dxfId="182" priority="93">
      <formula>IF($L21="I",TRUE,FALSE)</formula>
    </cfRule>
    <cfRule type="expression" dxfId="181" priority="94">
      <formula>IF($L21="T",TRUE,FALSE)</formula>
    </cfRule>
  </conditionalFormatting>
  <conditionalFormatting sqref="E24:G24 I24">
    <cfRule type="expression" dxfId="180" priority="91">
      <formula>IF($L24="I",TRUE,FALSE)</formula>
    </cfRule>
    <cfRule type="expression" dxfId="179" priority="92">
      <formula>IF($L24="T",TRUE,FALSE)</formula>
    </cfRule>
  </conditionalFormatting>
  <conditionalFormatting sqref="C25:C28">
    <cfRule type="expression" dxfId="178" priority="89">
      <formula>IF($L25="I",TRUE,FALSE)</formula>
    </cfRule>
    <cfRule type="expression" dxfId="177" priority="90">
      <formula>IF($L25="T",TRUE,FALSE)</formula>
    </cfRule>
  </conditionalFormatting>
  <conditionalFormatting sqref="C25:C28">
    <cfRule type="expression" dxfId="176" priority="88">
      <formula>IF($L25="I",TRUE,FALSE)</formula>
    </cfRule>
  </conditionalFormatting>
  <conditionalFormatting sqref="F86:G86">
    <cfRule type="expression" dxfId="175" priority="86">
      <formula>IF($L86="I",TRUE,FALSE)</formula>
    </cfRule>
    <cfRule type="expression" dxfId="174" priority="87">
      <formula>IF($L86="T",TRUE,FALSE)</formula>
    </cfRule>
  </conditionalFormatting>
  <conditionalFormatting sqref="F73 I73">
    <cfRule type="expression" dxfId="173" priority="84">
      <formula>IF($L73="I",TRUE,FALSE)</formula>
    </cfRule>
    <cfRule type="expression" dxfId="172" priority="85">
      <formula>IF($L73="T",TRUE,FALSE)</formula>
    </cfRule>
  </conditionalFormatting>
  <conditionalFormatting sqref="I36 E36:G36">
    <cfRule type="expression" dxfId="171" priority="82">
      <formula>IF($L36="I",TRUE,FALSE)</formula>
    </cfRule>
    <cfRule type="expression" dxfId="170" priority="83">
      <formula>IF($L36="T",TRUE,FALSE)</formula>
    </cfRule>
  </conditionalFormatting>
  <conditionalFormatting sqref="E77:G77 I77:I79 A77:A79 F78:G79">
    <cfRule type="expression" dxfId="169" priority="80">
      <formula>IF($L77="I",TRUE,FALSE)</formula>
    </cfRule>
    <cfRule type="expression" dxfId="168" priority="81">
      <formula>IF($L77="T",TRUE,FALSE)</formula>
    </cfRule>
  </conditionalFormatting>
  <conditionalFormatting sqref="E90">
    <cfRule type="expression" dxfId="167" priority="78">
      <formula>IF($L90="I",TRUE,FALSE)</formula>
    </cfRule>
    <cfRule type="expression" dxfId="166" priority="79">
      <formula>IF($L90="T",TRUE,FALSE)</formula>
    </cfRule>
  </conditionalFormatting>
  <conditionalFormatting sqref="I23 E23:G23">
    <cfRule type="expression" dxfId="165" priority="76">
      <formula>IF($L23="I",TRUE,FALSE)</formula>
    </cfRule>
    <cfRule type="expression" dxfId="164" priority="77">
      <formula>IF($L23="T",TRUE,FALSE)</formula>
    </cfRule>
  </conditionalFormatting>
  <conditionalFormatting sqref="B40:D40">
    <cfRule type="expression" dxfId="163" priority="74">
      <formula>IF($L40="I",TRUE,FALSE)</formula>
    </cfRule>
    <cfRule type="expression" dxfId="162" priority="75">
      <formula>IF($L40="T",TRUE,FALSE)</formula>
    </cfRule>
  </conditionalFormatting>
  <conditionalFormatting sqref="C40">
    <cfRule type="expression" dxfId="161" priority="73">
      <formula>IF($L40="I",TRUE,FALSE)</formula>
    </cfRule>
  </conditionalFormatting>
  <conditionalFormatting sqref="B41:D42 C43">
    <cfRule type="expression" dxfId="160" priority="71">
      <formula>IF($L41="I",TRUE,FALSE)</formula>
    </cfRule>
    <cfRule type="expression" dxfId="159" priority="72">
      <formula>IF($L41="T",TRUE,FALSE)</formula>
    </cfRule>
  </conditionalFormatting>
  <conditionalFormatting sqref="C41:C43">
    <cfRule type="expression" dxfId="158" priority="70">
      <formula>IF($L41="I",TRUE,FALSE)</formula>
    </cfRule>
  </conditionalFormatting>
  <conditionalFormatting sqref="B44:D46">
    <cfRule type="expression" dxfId="157" priority="68">
      <formula>IF($L44="I",TRUE,FALSE)</formula>
    </cfRule>
    <cfRule type="expression" dxfId="156" priority="69">
      <formula>IF($L44="T",TRUE,FALSE)</formula>
    </cfRule>
  </conditionalFormatting>
  <conditionalFormatting sqref="C44:C46">
    <cfRule type="expression" dxfId="155" priority="67">
      <formula>IF($L44="I",TRUE,FALSE)</formula>
    </cfRule>
  </conditionalFormatting>
  <conditionalFormatting sqref="A47 E47:G47 I47">
    <cfRule type="expression" dxfId="154" priority="65">
      <formula>IF($L47="I",TRUE,FALSE)</formula>
    </cfRule>
    <cfRule type="expression" dxfId="153" priority="66">
      <formula>IF($L47="T",TRUE,FALSE)</formula>
    </cfRule>
  </conditionalFormatting>
  <conditionalFormatting sqref="A48:A50">
    <cfRule type="expression" dxfId="152" priority="61">
      <formula>IF($L48="I",TRUE,FALSE)</formula>
    </cfRule>
    <cfRule type="expression" dxfId="151" priority="62">
      <formula>IF($L48="T",TRUE,FALSE)</formula>
    </cfRule>
  </conditionalFormatting>
  <conditionalFormatting sqref="A51">
    <cfRule type="expression" dxfId="150" priority="63">
      <formula>IF($L51="I",TRUE,FALSE)</formula>
    </cfRule>
    <cfRule type="expression" dxfId="149" priority="64">
      <formula>IF($L51="T",TRUE,FALSE)</formula>
    </cfRule>
  </conditionalFormatting>
  <conditionalFormatting sqref="A52 E52:G52 I52">
    <cfRule type="expression" dxfId="148" priority="53">
      <formula>IF($L52="I",TRUE,FALSE)</formula>
    </cfRule>
    <cfRule type="expression" dxfId="147" priority="54">
      <formula>IF($L52="T",TRUE,FALSE)</formula>
    </cfRule>
  </conditionalFormatting>
  <conditionalFormatting sqref="B48:D48 C49">
    <cfRule type="expression" dxfId="146" priority="59">
      <formula>IF($L48="I",TRUE,FALSE)</formula>
    </cfRule>
    <cfRule type="expression" dxfId="145" priority="60">
      <formula>IF($L48="T",TRUE,FALSE)</formula>
    </cfRule>
  </conditionalFormatting>
  <conditionalFormatting sqref="C48:C49">
    <cfRule type="expression" dxfId="144" priority="58">
      <formula>IF($L48="I",TRUE,FALSE)</formula>
    </cfRule>
  </conditionalFormatting>
  <conditionalFormatting sqref="B50:D51">
    <cfRule type="expression" dxfId="143" priority="56">
      <formula>IF($L50="I",TRUE,FALSE)</formula>
    </cfRule>
    <cfRule type="expression" dxfId="142" priority="57">
      <formula>IF($L50="T",TRUE,FALSE)</formula>
    </cfRule>
  </conditionalFormatting>
  <conditionalFormatting sqref="C50:C51">
    <cfRule type="expression" dxfId="141" priority="55">
      <formula>IF($L50="I",TRUE,FALSE)</formula>
    </cfRule>
  </conditionalFormatting>
  <conditionalFormatting sqref="E54:G54 I54">
    <cfRule type="expression" dxfId="140" priority="45">
      <formula>IF($L54="I",TRUE,FALSE)</formula>
    </cfRule>
    <cfRule type="expression" dxfId="139" priority="46">
      <formula>IF($L54="T",TRUE,FALSE)</formula>
    </cfRule>
  </conditionalFormatting>
  <conditionalFormatting sqref="I55:I56 E55:G56">
    <cfRule type="expression" dxfId="138" priority="47">
      <formula>IF($L55="I",TRUE,FALSE)</formula>
    </cfRule>
    <cfRule type="expression" dxfId="137" priority="48">
      <formula>IF($L55="T",TRUE,FALSE)</formula>
    </cfRule>
  </conditionalFormatting>
  <conditionalFormatting sqref="A53:A54">
    <cfRule type="expression" dxfId="136" priority="51">
      <formula>IF($L53="I",TRUE,FALSE)</formula>
    </cfRule>
    <cfRule type="expression" dxfId="135" priority="52">
      <formula>IF($L53="T",TRUE,FALSE)</formula>
    </cfRule>
  </conditionalFormatting>
  <conditionalFormatting sqref="E53:G53 I53">
    <cfRule type="expression" dxfId="134" priority="49">
      <formula>IF($L53="I",TRUE,FALSE)</formula>
    </cfRule>
    <cfRule type="expression" dxfId="133" priority="50">
      <formula>IF($L53="T",TRUE,FALSE)</formula>
    </cfRule>
  </conditionalFormatting>
  <conditionalFormatting sqref="A30:A33">
    <cfRule type="expression" dxfId="132" priority="43">
      <formula>IF($L30="I",TRUE,FALSE)</formula>
    </cfRule>
    <cfRule type="expression" dxfId="131" priority="44">
      <formula>IF($L30="T",TRUE,FALSE)</formula>
    </cfRule>
  </conditionalFormatting>
  <conditionalFormatting sqref="I33 E33:G33">
    <cfRule type="expression" dxfId="130" priority="41">
      <formula>IF($L33="I",TRUE,FALSE)</formula>
    </cfRule>
    <cfRule type="expression" dxfId="129" priority="42">
      <formula>IF($L33="T",TRUE,FALSE)</formula>
    </cfRule>
  </conditionalFormatting>
  <conditionalFormatting sqref="B30:D30">
    <cfRule type="expression" dxfId="128" priority="39">
      <formula>IF($L30="I",TRUE,FALSE)</formula>
    </cfRule>
    <cfRule type="expression" dxfId="127" priority="40">
      <formula>IF($L30="T",TRUE,FALSE)</formula>
    </cfRule>
  </conditionalFormatting>
  <conditionalFormatting sqref="C30">
    <cfRule type="expression" dxfId="126" priority="38">
      <formula>IF($L30="I",TRUE,FALSE)</formula>
    </cfRule>
  </conditionalFormatting>
  <conditionalFormatting sqref="B31:D31">
    <cfRule type="expression" dxfId="125" priority="36">
      <formula>IF($L31="I",TRUE,FALSE)</formula>
    </cfRule>
    <cfRule type="expression" dxfId="124" priority="37">
      <formula>IF($L31="T",TRUE,FALSE)</formula>
    </cfRule>
  </conditionalFormatting>
  <conditionalFormatting sqref="C31">
    <cfRule type="expression" dxfId="123" priority="35">
      <formula>IF($L31="I",TRUE,FALSE)</formula>
    </cfRule>
  </conditionalFormatting>
  <conditionalFormatting sqref="A37">
    <cfRule type="expression" dxfId="122" priority="33">
      <formula>IF($L37="I",TRUE,FALSE)</formula>
    </cfRule>
    <cfRule type="expression" dxfId="121" priority="34">
      <formula>IF($L37="T",TRUE,FALSE)</formula>
    </cfRule>
  </conditionalFormatting>
  <conditionalFormatting sqref="I37 E37:G37">
    <cfRule type="expression" dxfId="120" priority="31">
      <formula>IF($L37="I",TRUE,FALSE)</formula>
    </cfRule>
    <cfRule type="expression" dxfId="119" priority="32">
      <formula>IF($L37="T",TRUE,FALSE)</formula>
    </cfRule>
  </conditionalFormatting>
  <conditionalFormatting sqref="E78:E81">
    <cfRule type="expression" dxfId="118" priority="29">
      <formula>IF($L78="I",TRUE,FALSE)</formula>
    </cfRule>
    <cfRule type="expression" dxfId="117" priority="30">
      <formula>IF($L78="T",TRUE,FALSE)</formula>
    </cfRule>
  </conditionalFormatting>
  <conditionalFormatting sqref="E82:E88">
    <cfRule type="expression" dxfId="116" priority="27">
      <formula>IF($L82="I",TRUE,FALSE)</formula>
    </cfRule>
    <cfRule type="expression" dxfId="115" priority="28">
      <formula>IF($L82="T",TRUE,FALSE)</formula>
    </cfRule>
  </conditionalFormatting>
  <conditionalFormatting sqref="C58">
    <cfRule type="expression" dxfId="114" priority="25">
      <formula>IF($L58="I",TRUE,FALSE)</formula>
    </cfRule>
    <cfRule type="expression" dxfId="113" priority="26">
      <formula>IF($L58="T",TRUE,FALSE)</formula>
    </cfRule>
  </conditionalFormatting>
  <conditionalFormatting sqref="C58">
    <cfRule type="expression" dxfId="112" priority="24">
      <formula>IF($L58="I",TRUE,FALSE)</formula>
    </cfRule>
  </conditionalFormatting>
  <conditionalFormatting sqref="A90">
    <cfRule type="expression" dxfId="111" priority="112">
      <formula>IF(#REF!="I",TRUE,FALSE)</formula>
    </cfRule>
    <cfRule type="expression" dxfId="110" priority="113">
      <formula>IF(#REF!="T",TRUE,FALSE)</formula>
    </cfRule>
  </conditionalFormatting>
  <conditionalFormatting sqref="E68 E72:E74">
    <cfRule type="expression" dxfId="109" priority="22">
      <formula>IF($L68="I",TRUE,FALSE)</formula>
    </cfRule>
    <cfRule type="expression" dxfId="108" priority="23">
      <formula>IF($L68="T",TRUE,FALSE)</formula>
    </cfRule>
  </conditionalFormatting>
  <conditionalFormatting sqref="B69:D69">
    <cfRule type="expression" dxfId="107" priority="20">
      <formula>IF($L69="I",TRUE,FALSE)</formula>
    </cfRule>
    <cfRule type="expression" dxfId="106" priority="21">
      <formula>IF($L69="T",TRUE,FALSE)</formula>
    </cfRule>
  </conditionalFormatting>
  <conditionalFormatting sqref="C69">
    <cfRule type="expression" dxfId="105" priority="19">
      <formula>IF($L69="I",TRUE,FALSE)</formula>
    </cfRule>
  </conditionalFormatting>
  <conditionalFormatting sqref="B70:D70">
    <cfRule type="expression" dxfId="104" priority="17">
      <formula>IF($L70="I",TRUE,FALSE)</formula>
    </cfRule>
    <cfRule type="expression" dxfId="103" priority="18">
      <formula>IF($L70="T",TRUE,FALSE)</formula>
    </cfRule>
  </conditionalFormatting>
  <conditionalFormatting sqref="C70">
    <cfRule type="expression" dxfId="102" priority="16">
      <formula>IF($L70="I",TRUE,FALSE)</formula>
    </cfRule>
  </conditionalFormatting>
  <conditionalFormatting sqref="C72:C75">
    <cfRule type="expression" dxfId="101" priority="14">
      <formula>IF($L72="I",TRUE,FALSE)</formula>
    </cfRule>
    <cfRule type="expression" dxfId="100" priority="15">
      <formula>IF($L72="T",TRUE,FALSE)</formula>
    </cfRule>
  </conditionalFormatting>
  <conditionalFormatting sqref="C72:C75">
    <cfRule type="expression" dxfId="99" priority="13">
      <formula>IF($L72="I",TRUE,FALSE)</formula>
    </cfRule>
  </conditionalFormatting>
  <conditionalFormatting sqref="G68 G72:G74">
    <cfRule type="expression" dxfId="98" priority="11">
      <formula>IF($L68="I",TRUE,FALSE)</formula>
    </cfRule>
    <cfRule type="expression" dxfId="97" priority="12">
      <formula>IF($L68="T",TRUE,FALSE)</formula>
    </cfRule>
  </conditionalFormatting>
  <conditionalFormatting sqref="A64 I64 E64:G64">
    <cfRule type="expression" dxfId="96" priority="9">
      <formula>IF($L64="I",TRUE,FALSE)</formula>
    </cfRule>
    <cfRule type="expression" dxfId="95" priority="10">
      <formula>IF($L64="T",TRUE,FALSE)</formula>
    </cfRule>
  </conditionalFormatting>
  <conditionalFormatting sqref="C71">
    <cfRule type="expression" dxfId="94" priority="7">
      <formula>IF($L71="I",TRUE,FALSE)</formula>
    </cfRule>
    <cfRule type="expression" dxfId="93" priority="8">
      <formula>IF($L71="T",TRUE,FALSE)</formula>
    </cfRule>
  </conditionalFormatting>
  <conditionalFormatting sqref="C71">
    <cfRule type="expression" dxfId="92" priority="6">
      <formula>IF($L71="I",TRUE,FALSE)</formula>
    </cfRule>
  </conditionalFormatting>
  <conditionalFormatting sqref="C32">
    <cfRule type="expression" dxfId="91" priority="4">
      <formula>IF($L32="I",TRUE,FALSE)</formula>
    </cfRule>
    <cfRule type="expression" dxfId="90" priority="5">
      <formula>IF($L32="T",TRUE,FALSE)</formula>
    </cfRule>
  </conditionalFormatting>
  <conditionalFormatting sqref="C32">
    <cfRule type="expression" dxfId="89" priority="3">
      <formula>IF($L32="I",TRUE,FALSE)</formula>
    </cfRule>
  </conditionalFormatting>
  <conditionalFormatting sqref="A36">
    <cfRule type="expression" dxfId="88" priority="1">
      <formula>IF($L36="I",TRUE,FALSE)</formula>
    </cfRule>
    <cfRule type="expression" dxfId="87" priority="2">
      <formula>IF($L36="T",TRUE,FALSE)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88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zoomScale="110" zoomScaleNormal="110" workbookViewId="0">
      <selection activeCell="E11" sqref="E11"/>
    </sheetView>
  </sheetViews>
  <sheetFormatPr defaultRowHeight="15" x14ac:dyDescent="0.25"/>
  <cols>
    <col min="2" max="2" width="57" customWidth="1"/>
    <col min="3" max="3" width="9.140625" style="44"/>
    <col min="4" max="4" width="10.140625" style="59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44" t="s">
        <v>12</v>
      </c>
      <c r="D1" s="59" t="s">
        <v>13</v>
      </c>
    </row>
    <row r="2" spans="1:5" x14ac:dyDescent="0.25">
      <c r="A2" s="64" t="s">
        <v>89</v>
      </c>
      <c r="B2" s="2" t="e">
        <f>#REF!</f>
        <v>#REF!</v>
      </c>
      <c r="C2" s="57"/>
      <c r="D2" s="60"/>
      <c r="E2" s="16"/>
    </row>
    <row r="3" spans="1:5" x14ac:dyDescent="0.25">
      <c r="A3" s="6" t="s">
        <v>90</v>
      </c>
      <c r="B3" s="5" t="e">
        <f>#REF!</f>
        <v>#REF!</v>
      </c>
      <c r="C3" s="9" t="s">
        <v>19</v>
      </c>
      <c r="D3" s="61">
        <v>4960</v>
      </c>
      <c r="E3" s="51" t="s">
        <v>127</v>
      </c>
    </row>
    <row r="4" spans="1:5" ht="25.5" x14ac:dyDescent="0.25">
      <c r="A4" s="6" t="s">
        <v>91</v>
      </c>
      <c r="B4" s="6" t="e">
        <f>#REF!</f>
        <v>#REF!</v>
      </c>
      <c r="C4" s="99" t="s">
        <v>120</v>
      </c>
      <c r="D4" s="61">
        <v>1</v>
      </c>
      <c r="E4" s="51"/>
    </row>
    <row r="5" spans="1:5" x14ac:dyDescent="0.25">
      <c r="A5" s="46" t="s">
        <v>92</v>
      </c>
      <c r="B5" s="45" t="e">
        <f>#REF!</f>
        <v>#REF!</v>
      </c>
      <c r="C5" s="47" t="s">
        <v>12</v>
      </c>
      <c r="D5" s="61">
        <v>1</v>
      </c>
      <c r="E5" s="51"/>
    </row>
    <row r="6" spans="1:5" x14ac:dyDescent="0.25">
      <c r="A6" s="10" t="s">
        <v>93</v>
      </c>
      <c r="B6" s="8" t="e">
        <f>#REF!</f>
        <v>#REF!</v>
      </c>
      <c r="C6" s="9" t="s">
        <v>19</v>
      </c>
      <c r="D6" s="61">
        <v>3</v>
      </c>
      <c r="E6" s="51" t="s">
        <v>128</v>
      </c>
    </row>
    <row r="7" spans="1:5" ht="30" x14ac:dyDescent="0.25">
      <c r="A7" s="55" t="s">
        <v>94</v>
      </c>
      <c r="B7" s="5" t="e">
        <f>#REF!</f>
        <v>#REF!</v>
      </c>
      <c r="C7" s="47" t="s">
        <v>20</v>
      </c>
      <c r="D7" s="62">
        <f>(D3/2)*0.2</f>
        <v>496</v>
      </c>
      <c r="E7" s="54" t="s">
        <v>129</v>
      </c>
    </row>
    <row r="8" spans="1:5" s="53" customFormat="1" x14ac:dyDescent="0.25">
      <c r="A8" s="52" t="s">
        <v>95</v>
      </c>
      <c r="B8" s="1" t="e">
        <f>#REF!</f>
        <v>#REF!</v>
      </c>
      <c r="C8" s="36" t="s">
        <v>20</v>
      </c>
      <c r="D8" s="61">
        <f>25*2.8*0.07</f>
        <v>4.9000000000000004</v>
      </c>
      <c r="E8" s="51" t="s">
        <v>130</v>
      </c>
    </row>
    <row r="9" spans="1:5" s="53" customFormat="1" x14ac:dyDescent="0.25">
      <c r="A9" s="69" t="s">
        <v>74</v>
      </c>
      <c r="B9" s="2" t="e">
        <f>#REF!</f>
        <v>#REF!</v>
      </c>
      <c r="C9" s="57"/>
      <c r="D9" s="60"/>
      <c r="E9" s="16"/>
    </row>
    <row r="10" spans="1:5" s="53" customFormat="1" ht="30" x14ac:dyDescent="0.25">
      <c r="A10" s="46" t="s">
        <v>15</v>
      </c>
      <c r="B10" s="8" t="e">
        <f>#REF!</f>
        <v>#REF!</v>
      </c>
      <c r="C10" s="23" t="s">
        <v>19</v>
      </c>
      <c r="D10" s="61">
        <f>1504.85+232.6</f>
        <v>1737.4499999999998</v>
      </c>
      <c r="E10" s="51" t="s">
        <v>217</v>
      </c>
    </row>
    <row r="11" spans="1:5" s="53" customFormat="1" x14ac:dyDescent="0.25">
      <c r="A11" s="46" t="s">
        <v>16</v>
      </c>
      <c r="B11" s="25" t="e">
        <f>#REF!</f>
        <v>#REF!</v>
      </c>
      <c r="C11" s="23" t="s">
        <v>20</v>
      </c>
      <c r="D11" s="61">
        <f>1573.33*0.07</f>
        <v>110.1331</v>
      </c>
      <c r="E11" s="51" t="s">
        <v>218</v>
      </c>
    </row>
    <row r="12" spans="1:5" s="53" customFormat="1" ht="30.75" customHeight="1" x14ac:dyDescent="0.25">
      <c r="A12" s="46" t="s">
        <v>17</v>
      </c>
      <c r="B12" s="25" t="e">
        <f>#REF!</f>
        <v>#REF!</v>
      </c>
      <c r="C12" s="23" t="s">
        <v>19</v>
      </c>
      <c r="D12" s="61">
        <v>164.12</v>
      </c>
      <c r="E12" s="51" t="s">
        <v>135</v>
      </c>
    </row>
    <row r="13" spans="1:5" s="53" customFormat="1" ht="15" customHeight="1" x14ac:dyDescent="0.25">
      <c r="A13" s="135"/>
      <c r="B13" s="136" t="e">
        <f>#REF!</f>
        <v>#REF!</v>
      </c>
      <c r="C13" s="23" t="s">
        <v>11</v>
      </c>
      <c r="D13" s="61">
        <f>28*2</f>
        <v>56</v>
      </c>
      <c r="E13" s="51" t="s">
        <v>221</v>
      </c>
    </row>
    <row r="14" spans="1:5" x14ac:dyDescent="0.25">
      <c r="A14" s="69" t="s">
        <v>23</v>
      </c>
      <c r="B14" s="12" t="e">
        <f>#REF!</f>
        <v>#REF!</v>
      </c>
      <c r="C14" s="58"/>
      <c r="D14" s="63"/>
      <c r="E14" s="86"/>
    </row>
    <row r="15" spans="1:5" ht="30" x14ac:dyDescent="0.25">
      <c r="A15" s="6" t="s">
        <v>24</v>
      </c>
      <c r="B15" s="8" t="s">
        <v>58</v>
      </c>
      <c r="C15" s="23" t="s">
        <v>20</v>
      </c>
      <c r="D15" s="14">
        <f>1*0.5*0.5*4*2</f>
        <v>2</v>
      </c>
      <c r="E15" s="3" t="s">
        <v>183</v>
      </c>
    </row>
    <row r="16" spans="1:5" ht="30" x14ac:dyDescent="0.25">
      <c r="A16" s="17" t="s">
        <v>27</v>
      </c>
      <c r="B16" s="22" t="s">
        <v>60</v>
      </c>
      <c r="C16" s="23" t="s">
        <v>20</v>
      </c>
      <c r="D16" s="14">
        <f>1*0.5*0.5*4*2</f>
        <v>2</v>
      </c>
      <c r="E16" s="3" t="s">
        <v>182</v>
      </c>
    </row>
    <row r="17" spans="1:5" ht="30" x14ac:dyDescent="0.25">
      <c r="A17" s="6" t="s">
        <v>82</v>
      </c>
      <c r="B17" s="3" t="s">
        <v>169</v>
      </c>
      <c r="C17" s="18" t="s">
        <v>11</v>
      </c>
      <c r="D17" s="14">
        <f>4*3.5*2</f>
        <v>28</v>
      </c>
      <c r="E17" s="3" t="s">
        <v>181</v>
      </c>
    </row>
    <row r="18" spans="1:5" ht="30" x14ac:dyDescent="0.25">
      <c r="A18" s="6" t="s">
        <v>177</v>
      </c>
      <c r="B18" s="3" t="s">
        <v>171</v>
      </c>
      <c r="C18" s="9" t="s">
        <v>11</v>
      </c>
      <c r="D18" s="29">
        <f>2*2.4*2</f>
        <v>9.6</v>
      </c>
      <c r="E18" s="28" t="s">
        <v>188</v>
      </c>
    </row>
    <row r="19" spans="1:5" ht="30" x14ac:dyDescent="0.25">
      <c r="A19" s="17" t="s">
        <v>178</v>
      </c>
      <c r="B19" s="3" t="s">
        <v>172</v>
      </c>
      <c r="C19" s="18" t="s">
        <v>11</v>
      </c>
      <c r="D19" s="29">
        <f>13*3.5*2</f>
        <v>91</v>
      </c>
      <c r="E19" s="28" t="s">
        <v>187</v>
      </c>
    </row>
    <row r="20" spans="1:5" ht="30" x14ac:dyDescent="0.25">
      <c r="A20" s="6" t="s">
        <v>179</v>
      </c>
      <c r="B20" s="3" t="s">
        <v>173</v>
      </c>
      <c r="C20" s="18" t="s">
        <v>11</v>
      </c>
      <c r="D20" s="29">
        <f>D19+D18+D17</f>
        <v>128.6</v>
      </c>
      <c r="E20" s="28" t="s">
        <v>184</v>
      </c>
    </row>
    <row r="21" spans="1:5" x14ac:dyDescent="0.25">
      <c r="A21" s="6" t="s">
        <v>180</v>
      </c>
      <c r="B21" t="s">
        <v>175</v>
      </c>
      <c r="C21" s="18" t="s">
        <v>11</v>
      </c>
      <c r="D21" s="29">
        <f>16+5+40.04</f>
        <v>61.04</v>
      </c>
      <c r="E21" s="28" t="s">
        <v>189</v>
      </c>
    </row>
    <row r="22" spans="1:5" x14ac:dyDescent="0.25">
      <c r="A22" s="77" t="s">
        <v>34</v>
      </c>
      <c r="B22" s="12" t="e">
        <f>#REF!</f>
        <v>#REF!</v>
      </c>
      <c r="C22" s="129"/>
      <c r="D22" s="130"/>
      <c r="E22" s="131"/>
    </row>
    <row r="23" spans="1:5" ht="18" customHeight="1" x14ac:dyDescent="0.25">
      <c r="A23" s="77" t="s">
        <v>35</v>
      </c>
      <c r="B23" s="79" t="s">
        <v>57</v>
      </c>
      <c r="C23" s="80"/>
      <c r="D23" s="32"/>
      <c r="E23" s="87"/>
    </row>
    <row r="24" spans="1:5" ht="30" x14ac:dyDescent="0.25">
      <c r="A24" s="6" t="s">
        <v>139</v>
      </c>
      <c r="B24" s="88" t="s">
        <v>58</v>
      </c>
      <c r="C24" s="30" t="s">
        <v>20</v>
      </c>
      <c r="D24" s="31">
        <f>15*0.2*0.3</f>
        <v>0.89999999999999991</v>
      </c>
      <c r="E24" s="24" t="s">
        <v>157</v>
      </c>
    </row>
    <row r="25" spans="1:5" x14ac:dyDescent="0.25">
      <c r="A25" s="6" t="s">
        <v>140</v>
      </c>
      <c r="B25" s="22" t="s">
        <v>59</v>
      </c>
      <c r="C25" s="23" t="s">
        <v>20</v>
      </c>
      <c r="D25" s="14">
        <f>15*0.2*0.05</f>
        <v>0.15000000000000002</v>
      </c>
      <c r="E25" s="3" t="s">
        <v>158</v>
      </c>
    </row>
    <row r="26" spans="1:5" x14ac:dyDescent="0.25">
      <c r="A26" s="56" t="s">
        <v>141</v>
      </c>
      <c r="B26" s="22" t="s">
        <v>60</v>
      </c>
      <c r="C26" s="23" t="s">
        <v>20</v>
      </c>
      <c r="D26" s="31">
        <f>15*0.2*0.3</f>
        <v>0.89999999999999991</v>
      </c>
      <c r="E26" s="24" t="s">
        <v>157</v>
      </c>
    </row>
    <row r="27" spans="1:5" x14ac:dyDescent="0.25">
      <c r="A27" s="19" t="s">
        <v>142</v>
      </c>
      <c r="B27" s="22" t="s">
        <v>62</v>
      </c>
      <c r="C27" s="23" t="s">
        <v>19</v>
      </c>
      <c r="D27" s="14">
        <f>15*0.2*2</f>
        <v>6</v>
      </c>
      <c r="E27" s="3" t="s">
        <v>159</v>
      </c>
    </row>
    <row r="28" spans="1:5" x14ac:dyDescent="0.25">
      <c r="A28" s="56" t="s">
        <v>143</v>
      </c>
      <c r="B28" s="22" t="s">
        <v>63</v>
      </c>
      <c r="C28" s="23" t="s">
        <v>14</v>
      </c>
      <c r="D28" s="14">
        <f>D26*100</f>
        <v>89.999999999999986</v>
      </c>
      <c r="E28" s="3" t="s">
        <v>160</v>
      </c>
    </row>
    <row r="29" spans="1:5" x14ac:dyDescent="0.25">
      <c r="A29" s="19" t="s">
        <v>144</v>
      </c>
      <c r="B29" s="22" t="str">
        <f>'[2]desonerado-181'!$B$669</f>
        <v>Broca em concreto armado diâmetro de 20 cm - completa</v>
      </c>
      <c r="C29" s="23" t="s">
        <v>11</v>
      </c>
      <c r="D29" s="14">
        <f>5*3</f>
        <v>15</v>
      </c>
      <c r="E29" s="3" t="s">
        <v>161</v>
      </c>
    </row>
    <row r="30" spans="1:5" x14ac:dyDescent="0.25">
      <c r="A30" s="77" t="s">
        <v>36</v>
      </c>
      <c r="B30" s="79" t="s">
        <v>70</v>
      </c>
      <c r="C30" s="80"/>
      <c r="D30" s="60"/>
      <c r="E30" s="16"/>
    </row>
    <row r="31" spans="1:5" x14ac:dyDescent="0.25">
      <c r="A31" s="6" t="s">
        <v>145</v>
      </c>
      <c r="B31" s="22" t="s">
        <v>60</v>
      </c>
      <c r="C31" s="23" t="s">
        <v>20</v>
      </c>
      <c r="D31" s="14">
        <f>0.25*0.25*2.8*5</f>
        <v>0.875</v>
      </c>
      <c r="E31" s="3" t="s">
        <v>162</v>
      </c>
    </row>
    <row r="32" spans="1:5" x14ac:dyDescent="0.25">
      <c r="A32" s="6" t="s">
        <v>146</v>
      </c>
      <c r="B32" s="22" t="s">
        <v>62</v>
      </c>
      <c r="C32" s="23" t="s">
        <v>19</v>
      </c>
      <c r="D32" s="61">
        <f>(0.25*4)*2.8*5</f>
        <v>14</v>
      </c>
      <c r="E32" s="51" t="s">
        <v>163</v>
      </c>
    </row>
    <row r="33" spans="1:9" ht="19.5" customHeight="1" x14ac:dyDescent="0.25">
      <c r="A33" s="6" t="s">
        <v>147</v>
      </c>
      <c r="B33" s="22" t="s">
        <v>63</v>
      </c>
      <c r="C33" s="23" t="s">
        <v>14</v>
      </c>
      <c r="D33" s="96">
        <f>D31*100</f>
        <v>87.5</v>
      </c>
      <c r="E33" s="97" t="s">
        <v>103</v>
      </c>
    </row>
    <row r="34" spans="1:9" x14ac:dyDescent="0.25">
      <c r="A34" s="77" t="s">
        <v>88</v>
      </c>
      <c r="B34" s="79" t="s">
        <v>137</v>
      </c>
      <c r="C34" s="80"/>
      <c r="D34" s="132"/>
      <c r="E34" s="133"/>
    </row>
    <row r="35" spans="1:9" s="13" customFormat="1" ht="30" x14ac:dyDescent="0.25">
      <c r="A35" s="6" t="s">
        <v>148</v>
      </c>
      <c r="B35" s="8" t="s">
        <v>37</v>
      </c>
      <c r="C35" s="9" t="s">
        <v>19</v>
      </c>
      <c r="D35" s="89">
        <f>12*0.4</f>
        <v>4.8000000000000007</v>
      </c>
      <c r="E35" s="8" t="s">
        <v>164</v>
      </c>
    </row>
    <row r="36" spans="1:9" ht="35.25" customHeight="1" x14ac:dyDescent="0.25">
      <c r="A36" s="6" t="s">
        <v>149</v>
      </c>
      <c r="B36" s="7" t="s">
        <v>30</v>
      </c>
      <c r="C36" s="9" t="s">
        <v>19</v>
      </c>
      <c r="D36" s="96">
        <f>4.8*2</f>
        <v>9.6</v>
      </c>
      <c r="E36" s="98" t="s">
        <v>165</v>
      </c>
    </row>
    <row r="37" spans="1:9" x14ac:dyDescent="0.25">
      <c r="A37" s="6" t="s">
        <v>150</v>
      </c>
      <c r="B37" s="7" t="s">
        <v>28</v>
      </c>
      <c r="C37" s="9" t="s">
        <v>19</v>
      </c>
      <c r="D37" s="96">
        <f t="shared" ref="D37:D39" si="0">4.8*2</f>
        <v>9.6</v>
      </c>
      <c r="E37" s="98" t="s">
        <v>165</v>
      </c>
    </row>
    <row r="38" spans="1:9" x14ac:dyDescent="0.25">
      <c r="A38" s="6" t="s">
        <v>151</v>
      </c>
      <c r="B38" s="26" t="s">
        <v>31</v>
      </c>
      <c r="C38" s="47" t="s">
        <v>19</v>
      </c>
      <c r="D38" s="96">
        <f t="shared" si="0"/>
        <v>9.6</v>
      </c>
      <c r="E38" s="98" t="s">
        <v>165</v>
      </c>
    </row>
    <row r="39" spans="1:9" x14ac:dyDescent="0.25">
      <c r="A39" s="85" t="s">
        <v>152</v>
      </c>
      <c r="B39" s="25" t="s">
        <v>138</v>
      </c>
      <c r="C39" s="15" t="s">
        <v>19</v>
      </c>
      <c r="D39" s="96">
        <f t="shared" si="0"/>
        <v>9.6</v>
      </c>
      <c r="E39" s="98" t="s">
        <v>165</v>
      </c>
    </row>
    <row r="40" spans="1:9" ht="24.75" customHeight="1" x14ac:dyDescent="0.25">
      <c r="A40" s="85"/>
      <c r="B40" s="22" t="e">
        <f>#REF!</f>
        <v>#REF!</v>
      </c>
      <c r="C40" s="126" t="s">
        <v>19</v>
      </c>
      <c r="D40" s="96">
        <v>23.4</v>
      </c>
      <c r="E40" s="98" t="s">
        <v>216</v>
      </c>
    </row>
    <row r="41" spans="1:9" x14ac:dyDescent="0.25">
      <c r="A41" s="77" t="s">
        <v>96</v>
      </c>
      <c r="B41" s="79" t="s">
        <v>51</v>
      </c>
      <c r="C41" s="80"/>
      <c r="D41" s="60"/>
      <c r="E41" s="16"/>
    </row>
    <row r="42" spans="1:9" ht="30" x14ac:dyDescent="0.25">
      <c r="A42" s="6" t="s">
        <v>153</v>
      </c>
      <c r="B42" s="8" t="s">
        <v>104</v>
      </c>
      <c r="C42" s="34" t="s">
        <v>19</v>
      </c>
      <c r="D42" s="14">
        <v>35.43</v>
      </c>
      <c r="E42" s="3" t="s">
        <v>166</v>
      </c>
    </row>
    <row r="43" spans="1:9" x14ac:dyDescent="0.25">
      <c r="A43" s="6" t="s">
        <v>154</v>
      </c>
      <c r="B43" s="13" t="s">
        <v>105</v>
      </c>
      <c r="C43" s="34" t="s">
        <v>19</v>
      </c>
      <c r="D43" s="14">
        <f>8/100*D42+D42</f>
        <v>38.264400000000002</v>
      </c>
      <c r="E43" s="3" t="s">
        <v>167</v>
      </c>
    </row>
    <row r="44" spans="1:9" ht="30" x14ac:dyDescent="0.25">
      <c r="A44" s="6" t="s">
        <v>155</v>
      </c>
      <c r="B44" s="8" t="s">
        <v>101</v>
      </c>
      <c r="C44" s="34" t="s">
        <v>11</v>
      </c>
      <c r="D44" s="14">
        <f>3.7*5</f>
        <v>18.5</v>
      </c>
      <c r="E44" s="3"/>
    </row>
    <row r="45" spans="1:9" x14ac:dyDescent="0.25">
      <c r="A45" s="6" t="s">
        <v>156</v>
      </c>
      <c r="B45" s="13" t="s">
        <v>108</v>
      </c>
      <c r="C45" s="34" t="s">
        <v>11</v>
      </c>
      <c r="D45" s="14">
        <v>15</v>
      </c>
      <c r="E45" s="3"/>
    </row>
    <row r="46" spans="1:9" ht="24.75" customHeight="1" x14ac:dyDescent="0.25">
      <c r="A46" s="77" t="s">
        <v>49</v>
      </c>
      <c r="B46" s="11" t="e">
        <f>#REF!</f>
        <v>#REF!</v>
      </c>
      <c r="C46" s="57"/>
      <c r="D46" s="60"/>
      <c r="E46" s="16"/>
    </row>
    <row r="47" spans="1:9" x14ac:dyDescent="0.25">
      <c r="A47" s="161" t="s">
        <v>50</v>
      </c>
      <c r="B47" s="162" t="e">
        <f>#REF!</f>
        <v>#REF!</v>
      </c>
      <c r="C47" s="163" t="s">
        <v>12</v>
      </c>
      <c r="D47" s="164">
        <v>56</v>
      </c>
      <c r="E47" s="162"/>
      <c r="F47" s="232" t="s">
        <v>250</v>
      </c>
      <c r="G47" s="232"/>
      <c r="H47" s="232"/>
      <c r="I47" s="232"/>
    </row>
    <row r="48" spans="1:9" ht="45" x14ac:dyDescent="0.25">
      <c r="A48" s="161" t="s">
        <v>75</v>
      </c>
      <c r="B48" s="165" t="s">
        <v>230</v>
      </c>
      <c r="C48" s="166" t="s">
        <v>12</v>
      </c>
      <c r="D48" s="164">
        <v>1</v>
      </c>
      <c r="E48" s="162"/>
      <c r="F48" s="232"/>
      <c r="G48" s="232"/>
      <c r="H48" s="232"/>
      <c r="I48" s="232"/>
    </row>
    <row r="49" spans="1:9" ht="30" x14ac:dyDescent="0.25">
      <c r="A49" s="161" t="s">
        <v>76</v>
      </c>
      <c r="B49" s="167" t="s">
        <v>58</v>
      </c>
      <c r="C49" s="168" t="s">
        <v>20</v>
      </c>
      <c r="D49" s="169">
        <f>138*0.5*0.15</f>
        <v>10.35</v>
      </c>
      <c r="E49" s="170" t="s">
        <v>234</v>
      </c>
      <c r="F49" s="232"/>
      <c r="G49" s="232"/>
      <c r="H49" s="232"/>
      <c r="I49" s="232"/>
    </row>
    <row r="50" spans="1:9" x14ac:dyDescent="0.25">
      <c r="A50" s="161" t="s">
        <v>77</v>
      </c>
      <c r="B50" s="171" t="s">
        <v>60</v>
      </c>
      <c r="C50" s="168" t="s">
        <v>20</v>
      </c>
      <c r="D50" s="169">
        <f>138*0.15*0.15</f>
        <v>3.105</v>
      </c>
      <c r="E50" s="170" t="s">
        <v>235</v>
      </c>
      <c r="F50" s="232"/>
      <c r="G50" s="232"/>
      <c r="H50" s="232"/>
      <c r="I50" s="232"/>
    </row>
    <row r="51" spans="1:9" x14ac:dyDescent="0.25">
      <c r="A51" s="161" t="s">
        <v>83</v>
      </c>
      <c r="B51" s="172" t="s">
        <v>223</v>
      </c>
      <c r="C51" s="163" t="s">
        <v>20</v>
      </c>
      <c r="D51" s="169">
        <f>138*0.35*0.15</f>
        <v>7.2449999999999992</v>
      </c>
      <c r="E51" s="170" t="s">
        <v>236</v>
      </c>
      <c r="F51" s="232"/>
      <c r="G51" s="232"/>
      <c r="H51" s="232"/>
      <c r="I51" s="232"/>
    </row>
    <row r="52" spans="1:9" ht="30" x14ac:dyDescent="0.25">
      <c r="A52" s="161" t="s">
        <v>84</v>
      </c>
      <c r="B52" s="162" t="s">
        <v>225</v>
      </c>
      <c r="C52" s="163" t="s">
        <v>11</v>
      </c>
      <c r="D52" s="164">
        <v>638</v>
      </c>
      <c r="E52" s="162"/>
      <c r="F52" s="232"/>
      <c r="G52" s="232"/>
      <c r="H52" s="232"/>
      <c r="I52" s="232"/>
    </row>
    <row r="53" spans="1:9" ht="30" x14ac:dyDescent="0.25">
      <c r="A53" s="161" t="s">
        <v>85</v>
      </c>
      <c r="B53" s="162" t="s">
        <v>227</v>
      </c>
      <c r="C53" s="163" t="s">
        <v>11</v>
      </c>
      <c r="D53" s="164">
        <v>600</v>
      </c>
      <c r="E53" s="162"/>
      <c r="F53" s="232"/>
      <c r="G53" s="232"/>
      <c r="H53" s="232"/>
      <c r="I53" s="232"/>
    </row>
    <row r="54" spans="1:9" x14ac:dyDescent="0.25">
      <c r="A54" s="161" t="s">
        <v>86</v>
      </c>
      <c r="B54" s="173" t="s">
        <v>229</v>
      </c>
      <c r="C54" s="168" t="s">
        <v>11</v>
      </c>
      <c r="D54" s="164">
        <v>140</v>
      </c>
      <c r="E54" s="162"/>
      <c r="F54" s="232"/>
      <c r="G54" s="232"/>
      <c r="H54" s="232"/>
      <c r="I54" s="232"/>
    </row>
  </sheetData>
  <mergeCells count="1">
    <mergeCell ref="F47:I54"/>
  </mergeCells>
  <conditionalFormatting sqref="B2 B10:B13 A7:A13 C47 A47:A54">
    <cfRule type="expression" dxfId="86" priority="336">
      <formula>IF($L2="I",TRUE,FALSE)</formula>
    </cfRule>
    <cfRule type="expression" dxfId="85" priority="336">
      <formula>IF($L2="T",TRUE,FALSE)</formula>
    </cfRule>
  </conditionalFormatting>
  <conditionalFormatting sqref="B4">
    <cfRule type="expression" dxfId="84" priority="263">
      <formula>IF($L4="I",TRUE,FALSE)</formula>
    </cfRule>
    <cfRule type="expression" dxfId="83" priority="264">
      <formula>IF($L4="T",TRUE,FALSE)</formula>
    </cfRule>
  </conditionalFormatting>
  <conditionalFormatting sqref="B9">
    <cfRule type="expression" dxfId="82" priority="259">
      <formula>IF($L9="I",TRUE,FALSE)</formula>
    </cfRule>
  </conditionalFormatting>
  <conditionalFormatting sqref="A3">
    <cfRule type="expression" dxfId="81" priority="149">
      <formula>IF($L3="I",TRUE,FALSE)</formula>
    </cfRule>
    <cfRule type="expression" dxfId="80" priority="150">
      <formula>IF($L3="T",TRUE,FALSE)</formula>
    </cfRule>
  </conditionalFormatting>
  <conditionalFormatting sqref="A2 A4:A5">
    <cfRule type="expression" dxfId="79" priority="165">
      <formula>IF($L2="I",TRUE,FALSE)</formula>
    </cfRule>
    <cfRule type="expression" dxfId="78" priority="166">
      <formula>IF($L2="T",TRUE,FALSE)</formula>
    </cfRule>
  </conditionalFormatting>
  <conditionalFormatting sqref="A14">
    <cfRule type="expression" dxfId="77" priority="159">
      <formula>IF($L14="I",TRUE,FALSE)</formula>
    </cfRule>
    <cfRule type="expression" dxfId="76" priority="160">
      <formula>IF($L14="T",TRUE,FALSE)</formula>
    </cfRule>
  </conditionalFormatting>
  <conditionalFormatting sqref="A46">
    <cfRule type="expression" dxfId="75" priority="155">
      <formula>IF($L46="I",TRUE,FALSE)</formula>
    </cfRule>
    <cfRule type="expression" dxfId="74" priority="156">
      <formula>IF($L46="T",TRUE,FALSE)</formula>
    </cfRule>
  </conditionalFormatting>
  <conditionalFormatting sqref="A6">
    <cfRule type="expression" dxfId="73" priority="147">
      <formula>IF($L6="I",TRUE,FALSE)</formula>
    </cfRule>
    <cfRule type="expression" dxfId="72" priority="148">
      <formula>IF($L6="T",TRUE,FALSE)</formula>
    </cfRule>
  </conditionalFormatting>
  <conditionalFormatting sqref="C7 C4:C5">
    <cfRule type="expression" dxfId="71" priority="73">
      <formula>IF($L4="I",TRUE,FALSE)</formula>
    </cfRule>
    <cfRule type="expression" dxfId="70" priority="74">
      <formula>IF($L4="T",TRUE,FALSE)</formula>
    </cfRule>
  </conditionalFormatting>
  <conditionalFormatting sqref="C3">
    <cfRule type="expression" dxfId="69" priority="71">
      <formula>IF($L3="I",TRUE,FALSE)</formula>
    </cfRule>
    <cfRule type="expression" dxfId="68" priority="72">
      <formula>IF($L3="T",TRUE,FALSE)</formula>
    </cfRule>
  </conditionalFormatting>
  <conditionalFormatting sqref="C6">
    <cfRule type="expression" dxfId="67" priority="69">
      <formula>IF($L6="I",TRUE,FALSE)</formula>
    </cfRule>
    <cfRule type="expression" dxfId="66" priority="70">
      <formula>IF($L6="T",TRUE,FALSE)</formula>
    </cfRule>
  </conditionalFormatting>
  <conditionalFormatting sqref="C23">
    <cfRule type="expression" dxfId="65" priority="67">
      <formula>IF($L23="I",TRUE,FALSE)</formula>
    </cfRule>
    <cfRule type="expression" dxfId="64" priority="68">
      <formula>IF($L23="T",TRUE,FALSE)</formula>
    </cfRule>
  </conditionalFormatting>
  <conditionalFormatting sqref="C41">
    <cfRule type="expression" dxfId="63" priority="65">
      <formula>IF($L41="I",TRUE,FALSE)</formula>
    </cfRule>
    <cfRule type="expression" dxfId="62" priority="66">
      <formula>IF($L41="T",TRUE,FALSE)</formula>
    </cfRule>
  </conditionalFormatting>
  <conditionalFormatting sqref="B24">
    <cfRule type="expression" dxfId="61" priority="63">
      <formula>IF($L24="I",TRUE,FALSE)</formula>
    </cfRule>
    <cfRule type="expression" dxfId="60" priority="64">
      <formula>IF($L24="T",TRUE,FALSE)</formula>
    </cfRule>
  </conditionalFormatting>
  <conditionalFormatting sqref="B25:B26">
    <cfRule type="expression" dxfId="59" priority="61">
      <formula>IF($L25="I",TRUE,FALSE)</formula>
    </cfRule>
    <cfRule type="expression" dxfId="58" priority="62">
      <formula>IF($L25="T",TRUE,FALSE)</formula>
    </cfRule>
  </conditionalFormatting>
  <conditionalFormatting sqref="B27:B29">
    <cfRule type="expression" dxfId="57" priority="59">
      <formula>IF($L27="I",TRUE,FALSE)</formula>
    </cfRule>
    <cfRule type="expression" dxfId="56" priority="60">
      <formula>IF($L27="T",TRUE,FALSE)</formula>
    </cfRule>
  </conditionalFormatting>
  <conditionalFormatting sqref="C30">
    <cfRule type="expression" dxfId="55" priority="57">
      <formula>IF($L30="I",TRUE,FALSE)</formula>
    </cfRule>
    <cfRule type="expression" dxfId="54" priority="58">
      <formula>IF($L30="T",TRUE,FALSE)</formula>
    </cfRule>
  </conditionalFormatting>
  <conditionalFormatting sqref="C34">
    <cfRule type="expression" dxfId="53" priority="51">
      <formula>IF($L34="I",TRUE,FALSE)</formula>
    </cfRule>
    <cfRule type="expression" dxfId="52" priority="52">
      <formula>IF($L34="T",TRUE,FALSE)</formula>
    </cfRule>
  </conditionalFormatting>
  <conditionalFormatting sqref="B31">
    <cfRule type="expression" dxfId="51" priority="55">
      <formula>IF($L31="I",TRUE,FALSE)</formula>
    </cfRule>
    <cfRule type="expression" dxfId="50" priority="56">
      <formula>IF($L31="T",TRUE,FALSE)</formula>
    </cfRule>
  </conditionalFormatting>
  <conditionalFormatting sqref="B32:B33">
    <cfRule type="expression" dxfId="49" priority="53">
      <formula>IF($L32="I",TRUE,FALSE)</formula>
    </cfRule>
    <cfRule type="expression" dxfId="48" priority="54">
      <formula>IF($L32="T",TRUE,FALSE)</formula>
    </cfRule>
  </conditionalFormatting>
  <conditionalFormatting sqref="C36">
    <cfRule type="expression" dxfId="47" priority="45">
      <formula>IF($L36="I",TRUE,FALSE)</formula>
    </cfRule>
    <cfRule type="expression" dxfId="46" priority="46">
      <formula>IF($L36="T",TRUE,FALSE)</formula>
    </cfRule>
  </conditionalFormatting>
  <conditionalFormatting sqref="C37:C38">
    <cfRule type="expression" dxfId="45" priority="47">
      <formula>IF($L37="I",TRUE,FALSE)</formula>
    </cfRule>
    <cfRule type="expression" dxfId="44" priority="48">
      <formula>IF($L37="T",TRUE,FALSE)</formula>
    </cfRule>
  </conditionalFormatting>
  <conditionalFormatting sqref="C35">
    <cfRule type="expression" dxfId="43" priority="49">
      <formula>IF($L35="I",TRUE,FALSE)</formula>
    </cfRule>
    <cfRule type="expression" dxfId="42" priority="50">
      <formula>IF($L35="T",TRUE,FALSE)</formula>
    </cfRule>
  </conditionalFormatting>
  <conditionalFormatting sqref="A26:A29 A22:A24 A42:A45">
    <cfRule type="expression" dxfId="41" priority="43">
      <formula>IF($L22="I",TRUE,FALSE)</formula>
    </cfRule>
    <cfRule type="expression" dxfId="40" priority="44">
      <formula>IF($L22="T",TRUE,FALSE)</formula>
    </cfRule>
  </conditionalFormatting>
  <conditionalFormatting sqref="A25">
    <cfRule type="expression" dxfId="39" priority="41">
      <formula>IF($L25="I",TRUE,FALSE)</formula>
    </cfRule>
    <cfRule type="expression" dxfId="38" priority="42">
      <formula>IF($L25="T",TRUE,FALSE)</formula>
    </cfRule>
  </conditionalFormatting>
  <conditionalFormatting sqref="A41">
    <cfRule type="expression" dxfId="37" priority="39">
      <formula>IF($L41="I",TRUE,FALSE)</formula>
    </cfRule>
    <cfRule type="expression" dxfId="36" priority="40">
      <formula>IF($L41="T",TRUE,FALSE)</formula>
    </cfRule>
  </conditionalFormatting>
  <conditionalFormatting sqref="A37:A40">
    <cfRule type="expression" dxfId="35" priority="37">
      <formula>IF($L37="I",TRUE,FALSE)</formula>
    </cfRule>
    <cfRule type="expression" dxfId="34" priority="38">
      <formula>IF($L37="T",TRUE,FALSE)</formula>
    </cfRule>
  </conditionalFormatting>
  <conditionalFormatting sqref="A30">
    <cfRule type="expression" dxfId="33" priority="35">
      <formula>IF($L30="I",TRUE,FALSE)</formula>
    </cfRule>
    <cfRule type="expression" dxfId="32" priority="36">
      <formula>IF($L30="T",TRUE,FALSE)</formula>
    </cfRule>
  </conditionalFormatting>
  <conditionalFormatting sqref="A31:A32">
    <cfRule type="expression" dxfId="31" priority="31">
      <formula>IF($L31="I",TRUE,FALSE)</formula>
    </cfRule>
    <cfRule type="expression" dxfId="30" priority="32">
      <formula>IF($L31="T",TRUE,FALSE)</formula>
    </cfRule>
  </conditionalFormatting>
  <conditionalFormatting sqref="A33">
    <cfRule type="expression" dxfId="29" priority="33">
      <formula>IF($L33="I",TRUE,FALSE)</formula>
    </cfRule>
    <cfRule type="expression" dxfId="28" priority="34">
      <formula>IF($L33="T",TRUE,FALSE)</formula>
    </cfRule>
  </conditionalFormatting>
  <conditionalFormatting sqref="A34">
    <cfRule type="expression" dxfId="27" priority="29">
      <formula>IF($L34="I",TRUE,FALSE)</formula>
    </cfRule>
    <cfRule type="expression" dxfId="26" priority="30">
      <formula>IF($L34="T",TRUE,FALSE)</formula>
    </cfRule>
  </conditionalFormatting>
  <conditionalFormatting sqref="A35:A36">
    <cfRule type="expression" dxfId="25" priority="27">
      <formula>IF($L35="I",TRUE,FALSE)</formula>
    </cfRule>
    <cfRule type="expression" dxfId="24" priority="28">
      <formula>IF($L35="T",TRUE,FALSE)</formula>
    </cfRule>
  </conditionalFormatting>
  <conditionalFormatting sqref="B15">
    <cfRule type="expression" dxfId="23" priority="25">
      <formula>IF($L15="I",TRUE,FALSE)</formula>
    </cfRule>
    <cfRule type="expression" dxfId="22" priority="26">
      <formula>IF($L15="T",TRUE,FALSE)</formula>
    </cfRule>
  </conditionalFormatting>
  <conditionalFormatting sqref="B16">
    <cfRule type="expression" dxfId="21" priority="23">
      <formula>IF($L16="I",TRUE,FALSE)</formula>
    </cfRule>
    <cfRule type="expression" dxfId="20" priority="24">
      <formula>IF($L16="T",TRUE,FALSE)</formula>
    </cfRule>
  </conditionalFormatting>
  <conditionalFormatting sqref="A18:A20">
    <cfRule type="expression" dxfId="19" priority="21">
      <formula>IF($L18="I",TRUE,FALSE)</formula>
    </cfRule>
    <cfRule type="expression" dxfId="18" priority="22">
      <formula>IF($L18="T",TRUE,FALSE)</formula>
    </cfRule>
  </conditionalFormatting>
  <conditionalFormatting sqref="A15:A17">
    <cfRule type="expression" dxfId="17" priority="19">
      <formula>IF($L15="I",TRUE,FALSE)</formula>
    </cfRule>
    <cfRule type="expression" dxfId="16" priority="20">
      <formula>IF($L15="T",TRUE,FALSE)</formula>
    </cfRule>
  </conditionalFormatting>
  <conditionalFormatting sqref="A21">
    <cfRule type="expression" dxfId="15" priority="17">
      <formula>IF($L21="I",TRUE,FALSE)</formula>
    </cfRule>
    <cfRule type="expression" dxfId="14" priority="18">
      <formula>IF($L21="T",TRUE,FALSE)</formula>
    </cfRule>
  </conditionalFormatting>
  <conditionalFormatting sqref="C18:C19">
    <cfRule type="expression" dxfId="13" priority="15">
      <formula>IF($L18="I",TRUE,FALSE)</formula>
    </cfRule>
    <cfRule type="expression" dxfId="12" priority="16">
      <formula>IF($L18="T",TRUE,FALSE)</formula>
    </cfRule>
  </conditionalFormatting>
  <conditionalFormatting sqref="C20">
    <cfRule type="expression" dxfId="11" priority="13">
      <formula>IF($L20="I",TRUE,FALSE)</formula>
    </cfRule>
    <cfRule type="expression" dxfId="10" priority="14">
      <formula>IF($L20="T",TRUE,FALSE)</formula>
    </cfRule>
  </conditionalFormatting>
  <conditionalFormatting sqref="C17">
    <cfRule type="expression" dxfId="9" priority="11">
      <formula>IF($L17="I",TRUE,FALSE)</formula>
    </cfRule>
    <cfRule type="expression" dxfId="8" priority="12">
      <formula>IF($L17="T",TRUE,FALSE)</formula>
    </cfRule>
  </conditionalFormatting>
  <conditionalFormatting sqref="C21">
    <cfRule type="expression" dxfId="7" priority="9">
      <formula>IF($L21="I",TRUE,FALSE)</formula>
    </cfRule>
    <cfRule type="expression" dxfId="6" priority="10">
      <formula>IF($L21="T",TRUE,FALSE)</formula>
    </cfRule>
  </conditionalFormatting>
  <conditionalFormatting sqref="C48 C51:C53">
    <cfRule type="expression" dxfId="5" priority="5">
      <formula>IF($L48="I",TRUE,FALSE)</formula>
    </cfRule>
    <cfRule type="expression" dxfId="4" priority="6">
      <formula>IF($L48="T",TRUE,FALSE)</formula>
    </cfRule>
  </conditionalFormatting>
  <conditionalFormatting sqref="B49">
    <cfRule type="expression" dxfId="3" priority="3">
      <formula>IF($L49="I",TRUE,FALSE)</formula>
    </cfRule>
    <cfRule type="expression" dxfId="2" priority="4">
      <formula>IF($L49="T",TRUE,FALSE)</formula>
    </cfRule>
  </conditionalFormatting>
  <conditionalFormatting sqref="B50">
    <cfRule type="expression" dxfId="1" priority="1">
      <formula>IF($L50="I",TRUE,FALSE)</formula>
    </cfRule>
    <cfRule type="expression" dxfId="0" priority="2">
      <formula>IF($L50="T",TRUE,FALSE)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PLANILHA FINAL</vt:lpstr>
      <vt:lpstr>QUADRO RESUMO ORÇAMENTOS</vt:lpstr>
      <vt:lpstr>CRONOGRAMA</vt:lpstr>
      <vt:lpstr>MEMÓRIA</vt:lpstr>
      <vt:lpstr>CRONOGRAMA!Area_de_impressao</vt:lpstr>
      <vt:lpstr>MEMÓRIA!Area_de_impressao</vt:lpstr>
      <vt:lpstr>'PLANILHA FINAL'!Area_de_impressao</vt:lpstr>
      <vt:lpstr>'QUADRO RESUMO ORÇAMENTOS'!Area_de_impressao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</cp:lastModifiedBy>
  <cp:lastPrinted>2024-05-15T16:53:33Z</cp:lastPrinted>
  <dcterms:created xsi:type="dcterms:W3CDTF">2022-07-04T16:22:37Z</dcterms:created>
  <dcterms:modified xsi:type="dcterms:W3CDTF">2024-05-16T12:38:17Z</dcterms:modified>
</cp:coreProperties>
</file>