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Saúde\Pregão 21-2025- Reforma posto Coab - 1Doc 13.478-2024\"/>
    </mc:Choice>
  </mc:AlternateContent>
  <xr:revisionPtr revIDLastSave="0" documentId="8_{D5CBA8F3-A496-4FEB-B9AC-2ADE5C75F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ONOGRAMA" sheetId="10" r:id="rId1"/>
    <sheet name="Planilha1" sheetId="1" r:id="rId2"/>
    <sheet name="memória de cálculo" sheetId="8" r:id="rId3"/>
    <sheet name="MEMÓRIA PINTURA" sheetId="9" r:id="rId4"/>
  </sheets>
  <externalReferences>
    <externalReference r:id="rId5"/>
  </externalReferences>
  <definedNames>
    <definedName name="_xlnm.Print_Area" localSheetId="0">CRONOGRAMA!$A$1:$F$31</definedName>
    <definedName name="_xlnm.Print_Area" localSheetId="2">'memória de cálculo'!$A$1:$E$115</definedName>
    <definedName name="_xlnm.Print_Area" localSheetId="1">Planilha1!$A$1:$I$138</definedName>
    <definedName name="brasao">INDEX([1]INFO!$B$47:$D$76,[1]INFO!$F$47,3)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1" l="1"/>
  <c r="D50" i="8"/>
  <c r="D51" i="8" s="1"/>
  <c r="H50" i="1"/>
  <c r="I50" i="1" s="1"/>
  <c r="F62" i="1" l="1"/>
  <c r="I62" i="1" s="1"/>
  <c r="D115" i="8"/>
  <c r="D117" i="8"/>
  <c r="F129" i="1" s="1"/>
  <c r="B87" i="9"/>
  <c r="F45" i="9"/>
  <c r="F44" i="9"/>
  <c r="F43" i="9"/>
  <c r="F42" i="9"/>
  <c r="F41" i="9"/>
  <c r="F32" i="9"/>
  <c r="F54" i="9"/>
  <c r="F53" i="9"/>
  <c r="F52" i="9"/>
  <c r="F51" i="9"/>
  <c r="F50" i="9"/>
  <c r="F49" i="9"/>
  <c r="F48" i="9"/>
  <c r="F47" i="9"/>
  <c r="F46" i="9"/>
  <c r="F40" i="9"/>
  <c r="F39" i="9"/>
  <c r="F38" i="9"/>
  <c r="F37" i="9"/>
  <c r="F36" i="9"/>
  <c r="F35" i="9"/>
  <c r="F34" i="9"/>
  <c r="F33" i="9"/>
  <c r="F31" i="9"/>
  <c r="C56" i="9" s="1"/>
  <c r="F30" i="9"/>
  <c r="F29" i="9"/>
  <c r="F28" i="9"/>
  <c r="D112" i="8"/>
  <c r="F124" i="1" s="1"/>
  <c r="D113" i="8"/>
  <c r="F125" i="1" s="1"/>
  <c r="A20" i="9"/>
  <c r="G20" i="9" s="1"/>
  <c r="G19" i="9"/>
  <c r="D23" i="9" s="1"/>
  <c r="D111" i="8" s="1"/>
  <c r="F123" i="1" s="1"/>
  <c r="A19" i="9"/>
  <c r="C15" i="9"/>
  <c r="E15" i="9" s="1"/>
  <c r="E14" i="9"/>
  <c r="C8" i="9"/>
  <c r="E8" i="9" s="1"/>
  <c r="E13" i="9"/>
  <c r="E12" i="9"/>
  <c r="E11" i="9"/>
  <c r="E6" i="9"/>
  <c r="E5" i="9"/>
  <c r="E2" i="9"/>
  <c r="D116" i="8" l="1"/>
  <c r="F128" i="1" s="1"/>
  <c r="F127" i="1"/>
  <c r="H118" i="1"/>
  <c r="D104" i="8"/>
  <c r="D105" i="8" s="1"/>
  <c r="F117" i="1" s="1"/>
  <c r="F121" i="1"/>
  <c r="F120" i="1"/>
  <c r="F119" i="1"/>
  <c r="F118" i="1"/>
  <c r="F116" i="1"/>
  <c r="H117" i="1"/>
  <c r="H121" i="1"/>
  <c r="H120" i="1"/>
  <c r="H116" i="1"/>
  <c r="F114" i="1"/>
  <c r="F113" i="1"/>
  <c r="F112" i="1"/>
  <c r="F111" i="1"/>
  <c r="H114" i="1"/>
  <c r="F109" i="1"/>
  <c r="F108" i="1"/>
  <c r="F106" i="1"/>
  <c r="F105" i="1"/>
  <c r="F104" i="1"/>
  <c r="F103" i="1"/>
  <c r="F102" i="1"/>
  <c r="F101" i="1"/>
  <c r="F100" i="1"/>
  <c r="F98" i="1"/>
  <c r="F97" i="1"/>
  <c r="F96" i="1"/>
  <c r="F93" i="1"/>
  <c r="F92" i="1"/>
  <c r="H106" i="1"/>
  <c r="H105" i="1"/>
  <c r="H104" i="1"/>
  <c r="H103" i="1"/>
  <c r="H102" i="1"/>
  <c r="D82" i="8"/>
  <c r="F94" i="1" s="1"/>
  <c r="H98" i="1"/>
  <c r="H97" i="1"/>
  <c r="H96" i="1"/>
  <c r="H94" i="1"/>
  <c r="H93" i="1"/>
  <c r="H92" i="1"/>
  <c r="F89" i="1"/>
  <c r="F88" i="1"/>
  <c r="F87" i="1"/>
  <c r="D78" i="8"/>
  <c r="F90" i="1" s="1"/>
  <c r="H90" i="1"/>
  <c r="H89" i="1"/>
  <c r="D71" i="8"/>
  <c r="F83" i="1" s="1"/>
  <c r="D70" i="8"/>
  <c r="F82" i="1" s="1"/>
  <c r="D69" i="8"/>
  <c r="F81" i="1" s="1"/>
  <c r="D68" i="8"/>
  <c r="F80" i="1" s="1"/>
  <c r="H78" i="1"/>
  <c r="H84" i="1"/>
  <c r="F84" i="1"/>
  <c r="H83" i="1"/>
  <c r="H82" i="1"/>
  <c r="H81" i="1"/>
  <c r="I118" i="1" l="1"/>
  <c r="I121" i="1"/>
  <c r="I105" i="1"/>
  <c r="I120" i="1"/>
  <c r="I116" i="1"/>
  <c r="I117" i="1"/>
  <c r="I106" i="1"/>
  <c r="I104" i="1"/>
  <c r="I114" i="1"/>
  <c r="I98" i="1"/>
  <c r="I102" i="1"/>
  <c r="I103" i="1"/>
  <c r="I94" i="1"/>
  <c r="I92" i="1"/>
  <c r="I93" i="1"/>
  <c r="I96" i="1"/>
  <c r="I97" i="1"/>
  <c r="I90" i="1"/>
  <c r="I89" i="1"/>
  <c r="I83" i="1"/>
  <c r="I84" i="1"/>
  <c r="I81" i="1"/>
  <c r="I82" i="1"/>
  <c r="D65" i="8"/>
  <c r="F77" i="1" s="1"/>
  <c r="D64" i="8"/>
  <c r="F76" i="1" s="1"/>
  <c r="D63" i="8"/>
  <c r="F75" i="1" s="1"/>
  <c r="H70" i="1"/>
  <c r="H71" i="1"/>
  <c r="F72" i="1"/>
  <c r="F71" i="1"/>
  <c r="F70" i="1"/>
  <c r="D61" i="8"/>
  <c r="F73" i="1" s="1"/>
  <c r="D57" i="8"/>
  <c r="F69" i="1" s="1"/>
  <c r="D53" i="8"/>
  <c r="F65" i="1" s="1"/>
  <c r="F61" i="1"/>
  <c r="F60" i="1"/>
  <c r="F58" i="1"/>
  <c r="F57" i="1"/>
  <c r="F63" i="1"/>
  <c r="D47" i="8"/>
  <c r="F59" i="1" s="1"/>
  <c r="D44" i="8"/>
  <c r="F56" i="1" s="1"/>
  <c r="H63" i="1"/>
  <c r="H57" i="1"/>
  <c r="H56" i="1"/>
  <c r="F52" i="1"/>
  <c r="D41" i="8"/>
  <c r="F53" i="1" s="1"/>
  <c r="D37" i="8"/>
  <c r="F49" i="1" s="1"/>
  <c r="D36" i="8"/>
  <c r="F48" i="1" s="1"/>
  <c r="D35" i="8"/>
  <c r="F47" i="1" s="1"/>
  <c r="F46" i="1"/>
  <c r="F45" i="1"/>
  <c r="F44" i="1"/>
  <c r="D31" i="8"/>
  <c r="F43" i="1" s="1"/>
  <c r="D30" i="8"/>
  <c r="F42" i="1" s="1"/>
  <c r="D29" i="8"/>
  <c r="F41" i="1" s="1"/>
  <c r="H42" i="1"/>
  <c r="H41" i="1"/>
  <c r="H46" i="1"/>
  <c r="H44" i="1"/>
  <c r="H43" i="1"/>
  <c r="F39" i="1"/>
  <c r="F37" i="1"/>
  <c r="D26" i="8"/>
  <c r="F38" i="1" s="1"/>
  <c r="H39" i="1"/>
  <c r="H38" i="1"/>
  <c r="H37" i="1"/>
  <c r="F30" i="1"/>
  <c r="D23" i="8"/>
  <c r="F35" i="1" s="1"/>
  <c r="D22" i="8"/>
  <c r="F34" i="1" s="1"/>
  <c r="D21" i="8"/>
  <c r="F33" i="1" s="1"/>
  <c r="D20" i="8"/>
  <c r="F32" i="1" s="1"/>
  <c r="H33" i="1"/>
  <c r="H32" i="1"/>
  <c r="H31" i="1"/>
  <c r="H30" i="1"/>
  <c r="H29" i="1"/>
  <c r="H28" i="1"/>
  <c r="H27" i="1"/>
  <c r="H26" i="1"/>
  <c r="D19" i="8"/>
  <c r="F31" i="1" s="1"/>
  <c r="D17" i="8"/>
  <c r="F29" i="1" s="1"/>
  <c r="D16" i="8"/>
  <c r="F28" i="1" s="1"/>
  <c r="D14" i="8"/>
  <c r="F26" i="1" s="1"/>
  <c r="D15" i="8" l="1"/>
  <c r="F27" i="1" s="1"/>
  <c r="I27" i="1" s="1"/>
  <c r="D54" i="8"/>
  <c r="D66" i="8"/>
  <c r="F78" i="1" s="1"/>
  <c r="I78" i="1" s="1"/>
  <c r="I63" i="1"/>
  <c r="I71" i="1"/>
  <c r="I70" i="1"/>
  <c r="I56" i="1"/>
  <c r="I43" i="1"/>
  <c r="I57" i="1"/>
  <c r="I29" i="1"/>
  <c r="I38" i="1"/>
  <c r="I41" i="1"/>
  <c r="I42" i="1"/>
  <c r="I28" i="1"/>
  <c r="I44" i="1"/>
  <c r="I46" i="1"/>
  <c r="I30" i="1"/>
  <c r="I31" i="1"/>
  <c r="I32" i="1"/>
  <c r="I33" i="1"/>
  <c r="I26" i="1"/>
  <c r="I39" i="1"/>
  <c r="I37" i="1"/>
  <c r="F66" i="1" l="1"/>
  <c r="D55" i="8"/>
  <c r="F67" i="1" s="1"/>
  <c r="F19" i="1" l="1"/>
  <c r="F25" i="1" l="1"/>
  <c r="D11" i="8"/>
  <c r="F23" i="1" s="1"/>
  <c r="H21" i="1"/>
  <c r="D8" i="8"/>
  <c r="F20" i="1" s="1"/>
  <c r="D6" i="8"/>
  <c r="F18" i="1" s="1"/>
  <c r="D5" i="8"/>
  <c r="F17" i="1" s="1"/>
  <c r="H17" i="1"/>
  <c r="I17" i="1" l="1"/>
  <c r="D9" i="8"/>
  <c r="F21" i="1" s="1"/>
  <c r="I21" i="1" s="1"/>
  <c r="H66" i="1"/>
  <c r="H65" i="1"/>
  <c r="I65" i="1" l="1"/>
  <c r="I66" i="1"/>
  <c r="H35" i="1"/>
  <c r="I35" i="1" l="1"/>
  <c r="H34" i="1" l="1"/>
  <c r="I34" i="1" l="1"/>
  <c r="H129" i="1"/>
  <c r="I129" i="1" s="1"/>
  <c r="H128" i="1"/>
  <c r="I128" i="1" s="1"/>
  <c r="H127" i="1"/>
  <c r="I127" i="1" s="1"/>
  <c r="H123" i="1"/>
  <c r="H125" i="1"/>
  <c r="I125" i="1" s="1"/>
  <c r="H124" i="1"/>
  <c r="H119" i="1"/>
  <c r="I119" i="1" s="1"/>
  <c r="H113" i="1"/>
  <c r="I113" i="1" s="1"/>
  <c r="H112" i="1"/>
  <c r="I112" i="1" s="1"/>
  <c r="H111" i="1"/>
  <c r="H109" i="1"/>
  <c r="H108" i="1"/>
  <c r="I108" i="1" s="1"/>
  <c r="H101" i="1"/>
  <c r="I101" i="1" s="1"/>
  <c r="H100" i="1"/>
  <c r="I100" i="1" s="1"/>
  <c r="H88" i="1"/>
  <c r="I88" i="1" s="1"/>
  <c r="H73" i="1"/>
  <c r="I73" i="1" s="1"/>
  <c r="H72" i="1"/>
  <c r="I72" i="1" s="1"/>
  <c r="H69" i="1"/>
  <c r="I69" i="1" s="1"/>
  <c r="H67" i="1"/>
  <c r="I67" i="1" s="1"/>
  <c r="H80" i="1"/>
  <c r="I80" i="1" s="1"/>
  <c r="H76" i="1"/>
  <c r="I76" i="1" s="1"/>
  <c r="H87" i="1"/>
  <c r="I87" i="1" s="1"/>
  <c r="H77" i="1"/>
  <c r="I77" i="1" s="1"/>
  <c r="H75" i="1"/>
  <c r="H60" i="1"/>
  <c r="I60" i="1" s="1"/>
  <c r="H59" i="1"/>
  <c r="I59" i="1" s="1"/>
  <c r="H58" i="1"/>
  <c r="I58" i="1" s="1"/>
  <c r="H61" i="1"/>
  <c r="H53" i="1"/>
  <c r="H52" i="1"/>
  <c r="I52" i="1" s="1"/>
  <c r="H49" i="1"/>
  <c r="I49" i="1" s="1"/>
  <c r="I75" i="1" l="1"/>
  <c r="I109" i="1"/>
  <c r="I85" i="1" s="1"/>
  <c r="C17" i="10" s="1"/>
  <c r="I115" i="1"/>
  <c r="C19" i="10" s="1"/>
  <c r="F19" i="10" s="1"/>
  <c r="I124" i="1"/>
  <c r="I111" i="1"/>
  <c r="I110" i="1" s="1"/>
  <c r="C18" i="10" s="1"/>
  <c r="E18" i="10" s="1"/>
  <c r="I126" i="1"/>
  <c r="C21" i="10" s="1"/>
  <c r="I123" i="1"/>
  <c r="I53" i="1"/>
  <c r="I61" i="1"/>
  <c r="E21" i="10" l="1"/>
  <c r="F21" i="10"/>
  <c r="E17" i="10"/>
  <c r="D17" i="10"/>
  <c r="I54" i="1"/>
  <c r="C16" i="10" s="1"/>
  <c r="D16" i="10" s="1"/>
  <c r="I122" i="1"/>
  <c r="C20" i="10" s="1"/>
  <c r="F20" i="10" s="1"/>
  <c r="F22" i="10" s="1"/>
  <c r="H47" i="1"/>
  <c r="I47" i="1" s="1"/>
  <c r="H48" i="1"/>
  <c r="H20" i="1"/>
  <c r="I20" i="1" s="1"/>
  <c r="H19" i="1"/>
  <c r="I19" i="1" s="1"/>
  <c r="H18" i="1"/>
  <c r="I18" i="1" s="1"/>
  <c r="H25" i="1"/>
  <c r="H45" i="1"/>
  <c r="H23" i="1"/>
  <c r="I23" i="1" l="1"/>
  <c r="I25" i="1"/>
  <c r="I48" i="1"/>
  <c r="I45" i="1"/>
  <c r="I15" i="1" l="1"/>
  <c r="I130" i="1" l="1"/>
  <c r="C15" i="10"/>
  <c r="C22" i="10" l="1"/>
  <c r="E15" i="10"/>
  <c r="E22" i="10" s="1"/>
  <c r="D15" i="10"/>
  <c r="D22" i="10" s="1"/>
</calcChain>
</file>

<file path=xl/sharedStrings.xml><?xml version="1.0" encoding="utf-8"?>
<sst xmlns="http://schemas.openxmlformats.org/spreadsheetml/2006/main" count="1039" uniqueCount="363">
  <si>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</si>
  <si>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</si>
  <si>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</si>
  <si>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</si>
  <si>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</si>
  <si>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</si>
  <si>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</si>
  <si>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</si>
  <si>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</si>
  <si>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</si>
  <si>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</si>
  <si>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UNID.</t>
  </si>
  <si>
    <t>M2</t>
  </si>
  <si>
    <t>M3</t>
  </si>
  <si>
    <t>REFERÊNCIA:</t>
  </si>
  <si>
    <t>TOTAL GERAL COM BDI</t>
  </si>
  <si>
    <t>REFERÊNCIA</t>
  </si>
  <si>
    <t>PLANILHA ORÇAMENTÁRIA</t>
  </si>
  <si>
    <t>1.</t>
  </si>
  <si>
    <t>1.1</t>
  </si>
  <si>
    <t>1.2</t>
  </si>
  <si>
    <t>1.3</t>
  </si>
  <si>
    <t>1.4</t>
  </si>
  <si>
    <t>1.5</t>
  </si>
  <si>
    <t xml:space="preserve">SINAPI </t>
  </si>
  <si>
    <t>SINAPI</t>
  </si>
  <si>
    <t>DEMOLIÇÃO DE ALVENARIA DE BLOCO FURADO, DE FORMA MANUAL, SEM REAPROVEITAMENTO. AF_09/2023</t>
  </si>
  <si>
    <t>DEMOLIÇÃO DE PISO DE CONCRETO SIMPLES, DE FORMA MANUAL, SEM REAPROVEITAMENTO. AF_09/2023</t>
  </si>
  <si>
    <t>memória</t>
  </si>
  <si>
    <t>Secretário de Obras e Planejamento</t>
  </si>
  <si>
    <t>REFORMA DO POSTO DE SAÚDE DO BAIRRO COHAB</t>
  </si>
  <si>
    <t xml:space="preserve">LOCAL: RUA PEDRO LAZARIM, 34 - COHAB </t>
  </si>
  <si>
    <t>ALTERAÇÃO DO ACESSO PRINCIPAL</t>
  </si>
  <si>
    <t>DEMOLIÇÕES E RETIRADAS</t>
  </si>
  <si>
    <t>1.1.1</t>
  </si>
  <si>
    <t>DEMOLIÇÃO DE PISO DE CONCRETO SIMPLES, DE FORMA MANUAL, SEM REAPROVEIT</t>
  </si>
  <si>
    <t>REMOÇÃO DE ALAMBRADOS PARA QUADRAS POLIESPORTIVAS, ESTRUTURADO POR TUBOS DE AÇO GALVANIZADO, COM TELA DE ARAME GALVANIZADO, DE FORMA MANUAL,SEM REAPROVEITAMENTO. AF_09/2023</t>
  </si>
  <si>
    <t>remoção alambrado 6,20 * 2,20 h</t>
  </si>
  <si>
    <t>demolição alvenaria alambrado 6,20 * 0,40 * 0,20 esp</t>
  </si>
  <si>
    <t>Retirada de folha de esquadria metálica</t>
  </si>
  <si>
    <t>04.09.040</t>
  </si>
  <si>
    <t>retirada portão do alambrado</t>
  </si>
  <si>
    <t>demolição de piso externo e calçada 46,80 m2 * 0,10 esp</t>
  </si>
  <si>
    <t xml:space="preserve">DEMOLIÇÕES E RETIRADAS </t>
  </si>
  <si>
    <t>ALTERAÇÃO DO ACESSO PRINCIPAL - SERVIÇOS EXTERNOS</t>
  </si>
  <si>
    <t>ACERTO DO TERRENO</t>
  </si>
  <si>
    <t>Remoção de entulho de obra com caçamba metálica ‐ material
volumoso e misturado por alvenaria, terra, madeira, papel, plástico e metal</t>
  </si>
  <si>
    <t>05.07.050</t>
  </si>
  <si>
    <t>retirada de entulho + 30% empolamento</t>
  </si>
  <si>
    <t>Aterro mecanizado por compensação, solo de 1ª categoria em campo
aberto, sem compactação do aterro</t>
  </si>
  <si>
    <t>07.12.040</t>
  </si>
  <si>
    <t>85,00 M² * 0,50 H</t>
  </si>
  <si>
    <t>1.2.1</t>
  </si>
  <si>
    <t>EXECUÇÃO DE MURO E CALÇADA</t>
  </si>
  <si>
    <t>EXECUÇÃO DE PASSEIO (CALÇADA) OU PISO DE CONCRETO COM CONCRETO MOLDADO IN LOCO, FEITO EM OBRA, ACABAMENTO CONVENCIONAL, ESPESSURA 8 CM, ARMADO. AF_08/2022</t>
  </si>
  <si>
    <t>82,15 M² ÁREA RETIRADA DO CAD</t>
  </si>
  <si>
    <t>1.3.1</t>
  </si>
  <si>
    <t>1.3.2</t>
  </si>
  <si>
    <t>ESCAVAÇÃO MANUAL PARA VIGA BALDRAME OU SAPATA CORRIDA (INCLUINDO ESCAVAÇÃO PARA COLOCAÇÃO DE FÔRMAS). AF_01/2024</t>
  </si>
  <si>
    <t>ARMAÇÃO DE BLOCO UTILIZANDO AÇO CA-50 DE 8 MM - MONTAGEM. AF_01/2024</t>
  </si>
  <si>
    <t>KG</t>
  </si>
  <si>
    <t>CONCRETO FCK = 25MPA, TRAÇO 1:2,3:2,7 (EM MASSA SECA DE CIMENTO/ AREIA MÉDIA/ BRITA 1) - PREPARO MECÂNICO COM BETONEIRA 400 L. AF_05/2021</t>
  </si>
  <si>
    <t>FABRICAÇÃO, MONTAGEM E DESMONTAGEM DE FÔRMA PARA VIGA BALDRAME, EM MADEIRA SERRADA, E=25 MM, 1 UTILIZAÇÃO. AF_01/2024</t>
  </si>
  <si>
    <t>ESTACA BROCA DE CONCRETO, DIÂMETRO DE 25CM, ESCAVAÇÃO MANUAL COM TRADO CONCHA, COM ARMADURA DE ARRANQUE. AF_05/2020</t>
  </si>
  <si>
    <t>M</t>
  </si>
  <si>
    <t>8,55 m perímetro * 0,20 * 0,30</t>
  </si>
  <si>
    <t>concreto * 80</t>
  </si>
  <si>
    <t>8,55 * 0,30 * 2 lados</t>
  </si>
  <si>
    <t>7 unidades com profundidade de 1,00 m</t>
  </si>
  <si>
    <t>Vergas, contravergas e pilaretes de concreto armado</t>
  </si>
  <si>
    <t>14.20.010</t>
  </si>
  <si>
    <t>7 PILARES DE 0,15*0,20*2,20 + VIGA RESPALDO 6,75 * 0,15*0,20</t>
  </si>
  <si>
    <t>ALVENARIA DE VEDAÇÃO DE BLOCOS CERÂMICOS FURADOS NA VERTICAL DE 14X19X39 CM (ESPESSURA 14 CM) E ARGAMASSA DE ASSENTAMENTO COM PREPARO MANUAL. AF_12/2021</t>
  </si>
  <si>
    <t>6,75 m * 2,20</t>
  </si>
  <si>
    <t>CHAPISCO APLICADO EM ALVENARIA (SEM PRESENÇA DE VÃOS) E ESTRUTURAS DE CONCRETO DE FACHADA, COM COLHER DE PEDREIRO. ARGAMASSA TRAÇO 1:3 COM PREPARO MANUAL. AF_10/2022</t>
  </si>
  <si>
    <t>EMBOÇO, PARA RECEBIMENTO DE CERÂMICA, EM ARGAMASSA TRAÇO 1:2:8, PREPARO MECÂNICO COM BETONEIRA 400L, APLICADO MANUALMENTE EM FACES INTERNAS DE PAREDES, PARA AMBIENTE COM ÁREA MENOR QUE 5M2, ESPESSURA DE 20MM, COM EXECUÇÃO DE TALISCAS. AF_06/2014</t>
  </si>
  <si>
    <t>Revestimento em placa cerâmica esmaltada de 10x10 cm, assentado e rejuntado com argamassa industrializada</t>
  </si>
  <si>
    <t>18.11.022</t>
  </si>
  <si>
    <t>6,75 M * 2,20 M * 2 LADOS</t>
  </si>
  <si>
    <t>EXECUÇÃO CANTEIROS</t>
  </si>
  <si>
    <t>Terra vegetal orgânica comum</t>
  </si>
  <si>
    <t>34.01.010</t>
  </si>
  <si>
    <t>Limpeza e regularização de áreas para ajardinamento (jardins e
canteiros)</t>
  </si>
  <si>
    <t>34.01.020</t>
  </si>
  <si>
    <t>PLANTIO DE GRAMA ESMERALDA OU SÃO CARLOS OU CURITIBANA, EM PLACAS. AF_07/2024</t>
  </si>
  <si>
    <t>8,15 M²</t>
  </si>
  <si>
    <t>8,15 M² * 0,20</t>
  </si>
  <si>
    <t>COBERTURA</t>
  </si>
  <si>
    <t>PILAR DE MADEIRA SERRADA, MAÇARANDUBA OU EQUIVALENTE DA REGIÃO, NÃO APARELHADO, FIXADO COM VERGALHÃO, SEÇÃO QUADRADA 20 X 20 CM, APOIO ARTICULADO, COMPRIMENTO DE 3 M. AF_03/2024</t>
  </si>
  <si>
    <t>escavação para 6 pilares 1,00 m prof * 0,30 * 0,30</t>
  </si>
  <si>
    <t>concreto para 6 pilares 1,00 m prof * 0,30 * 0,30</t>
  </si>
  <si>
    <t>3,80 m (2,80 m altura + 1,00 m fundação) * 6 unidades</t>
  </si>
  <si>
    <t>TRAMA DE MADEIRA COMPOSTA POR RIPAS, CAIBROS E TERÇAS PARA TELHADOS DE ATÉ 2 ÁGUAS PARA TELHA DE ENCAIXE DE CERÂMICA OU DE CONCRETO, INCLUSO TRANSPORTE VERTICAL. AF_07/2019</t>
  </si>
  <si>
    <t>FABRICAÇÃO E INSTALAÇÃO DE TESOURA INTEIRA EM MADEIRA NÃO APARELHADA,VÃO DE 4 M, PARA TELHA CERÂMICA OU DE CONCRETO, INCLUSO IÇAMENTO. AF_07/2019</t>
  </si>
  <si>
    <t>3 UNIDADES SOBRE PILARES</t>
  </si>
  <si>
    <t>TELHAMENTO COM TELHA CERÂMICA DE ENCAIXE, TIPO PORTUGUESA, COM ATÉ 2 ÁGUAS, INCLUSO TRANSPORTE VERTICAL. AF_07/2019</t>
  </si>
  <si>
    <t>32,20 M²</t>
  </si>
  <si>
    <t>RUFO EXTERNO/INTERNO EM CHAPA DE AÇO GALVANIZADO NÚMERO 26, CORTE DE 33 CM, INCLUSO IÇAMENTO. AF_07/2019</t>
  </si>
  <si>
    <t>CALHA EM CHAPA DE AÇO GALVANIZADO NÚMERO 24, DESENVOLVIMENTO DE 50 CM,INCLUSO TRANSPORTE VERTICAL. AF_07/2019</t>
  </si>
  <si>
    <t>1,85 * 2 * 2 lados rufo entre cobertura e construção e rufo parte frente telhado</t>
  </si>
  <si>
    <t>calha laterais cobertura 8,80 * 2 lados</t>
  </si>
  <si>
    <t>TUBO PVC, SÉRIE R, ÁGUA PLUVIAL, DN 100 MM, FORNECIDO E INSTALADO EM RAMAL DE ENCAMINHAMENTO. AF_06/2022</t>
  </si>
  <si>
    <t>2 tubos 3 m</t>
  </si>
  <si>
    <t>SERVIÇOS COMPLEMENTARES</t>
  </si>
  <si>
    <t>Banco em concreto pré‐moldado com pés vazados, comprimento 200
cm</t>
  </si>
  <si>
    <t>35.04.140</t>
  </si>
  <si>
    <t>4 UNIDADES</t>
  </si>
  <si>
    <t>Portão tubular em tela de aço galvanizado até 2,50 m de altura,
completo</t>
  </si>
  <si>
    <t>24.02.100</t>
  </si>
  <si>
    <t>1,80 * 2,20</t>
  </si>
  <si>
    <t>1.3.3</t>
  </si>
  <si>
    <t>1.3.4</t>
  </si>
  <si>
    <t>1.3.5</t>
  </si>
  <si>
    <t>2.3.2</t>
  </si>
  <si>
    <t>1.3.6</t>
  </si>
  <si>
    <t>1.3.7</t>
  </si>
  <si>
    <t>1.3.8</t>
  </si>
  <si>
    <t>1.3.9</t>
  </si>
  <si>
    <t>1.3.10</t>
  </si>
  <si>
    <t>1.3.11</t>
  </si>
  <si>
    <t>1.4.1</t>
  </si>
  <si>
    <t>1.4.2</t>
  </si>
  <si>
    <t>1.4.3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</si>
  <si>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</si>
  <si>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</si>
  <si>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</si>
  <si>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</si>
  <si>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</si>
  <si>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</si>
  <si>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</si>
  <si>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</si>
  <si>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</si>
  <si>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1.6</t>
  </si>
  <si>
    <t>1.6.1</t>
  </si>
  <si>
    <t>1.6.2</t>
  </si>
  <si>
    <t>2.</t>
  </si>
  <si>
    <t>REFORMA SALA DE ESPERA</t>
  </si>
  <si>
    <t>2.1</t>
  </si>
  <si>
    <t>Retirada de batente, corrimão ou peças lineares metálicas,
chumbados</t>
  </si>
  <si>
    <t>04.09.060</t>
  </si>
  <si>
    <t>Demolição manual de painéis divisórias, inclusive montantes
metálicos</t>
  </si>
  <si>
    <t>03.08.200</t>
  </si>
  <si>
    <t>DEMOLIÇÃO DE REVESTIMENTO CERÂMICO, DE FORMA MANUAL, SEM REAPROVEITAMENTO. AF_09/2023</t>
  </si>
  <si>
    <t>REMOÇÃO DE PISO DE BLOCO INTERTRAVADO OU DE PEDRA PORTUGUESA, DE FORMA MANUAL, COM REAPROVEITAMENTO. AF_09/2023</t>
  </si>
  <si>
    <t>1,80 * 2,20 * 0,25 demolição alvenaria para instalação de porta</t>
  </si>
  <si>
    <t>retirada do corrimão entrada</t>
  </si>
  <si>
    <t>3,90 * 2,10 retirada de porta divisória entre sala espera e recepção</t>
  </si>
  <si>
    <t>50,30 m² piso sala espera</t>
  </si>
  <si>
    <t>retirada pedra portuguesa sala espera e rampa acesso</t>
  </si>
  <si>
    <t>3,26 m³ + 30%</t>
  </si>
  <si>
    <t>2.2</t>
  </si>
  <si>
    <t>ALVENARIA</t>
  </si>
  <si>
    <t>EMBOÇO OU MASSA ÚNICA EM ARGAMASSA TRAÇO 1:2:8, PREPARO MECÂNICO COM BETONEIRA 400 L, APLICADA MANUALMENTE EM PANOS CEGOS DE FACHADA (SEM PRESENÇA DE VÃOS), ESPESSURA DE 25 MM. AF_08/2022</t>
  </si>
  <si>
    <t>2 unidades porta sala de espera e 1 unidade janela lateral</t>
  </si>
  <si>
    <t>2,00 * 1,50 altura (fechamento alvenaria onde era a porta)</t>
  </si>
  <si>
    <t>2.3</t>
  </si>
  <si>
    <t>PISO</t>
  </si>
  <si>
    <t>Aterro manual apiloado de área interna com maço de 30 kg</t>
  </si>
  <si>
    <t>06.12.020</t>
  </si>
  <si>
    <t>CONTRAPISO EM ARGAMASSA TRAÇO 1:4 (CIMENTO E AREIA), PREPARO MECÂNICO COM BETONEIRA 400 L, APLICADO EM ÁREAS SECAS SOBRE LAJE, ADERIDO, ACABAMENTO NÃO REFORÇADO, ESPESSURA 2CM. AF_07/2021</t>
  </si>
  <si>
    <t>LASTRO DE CONCRETO MAGRO, APLICADO EM PISOS, LAJES SOBRE SOLO OU RADIERS, ESPESSURA DE 5 CM. AF_01/2024</t>
  </si>
  <si>
    <t>aterro de área onde foi removida a pedra portuguesa para nivelamento do piso 7,20 m2 * 0,50 h</t>
  </si>
  <si>
    <t>regularização contrapiso onde foi removido o revestimento cerâmico 43,10 m2</t>
  </si>
  <si>
    <t>7,20 m2 contrapiso área onde foi removida a pedra portuguesa</t>
  </si>
  <si>
    <t>REVESTIMENTO CERÂMICO PARA PISO COM PLACAS TIPO PORCELANATO DE DIMENSÕES 45X45 CM APLICADA EM AMBIENTES DE ÁREA ENTRE 5 M² E 10 M². AF_02/2023_PE</t>
  </si>
  <si>
    <t>43,10 m² piso sala espera</t>
  </si>
  <si>
    <t>SOLEIRA EM GRANITO, LARGURA 15 CM, ESPESSURA 2,0 CM. AF_09/2020</t>
  </si>
  <si>
    <t>soleiras portas 1,80 + 3,90</t>
  </si>
  <si>
    <t>ESQUADRIAS</t>
  </si>
  <si>
    <t>JANELA DE AÇO TIPO BASCULANTE PARA VIDROS, COM BATENTE, FERRAGENS E PINTURA ANTICORROSIVA. EXCLUSIVE VIDROS, ACABAMENTO, ALIZAR E CONTRAMARCO. FORNECIMENTO E INSTALAÇÃO. AF_12/2019</t>
  </si>
  <si>
    <t>Porta em ferro de correr, para receber vidro, sob medida</t>
  </si>
  <si>
    <t>24.02.410</t>
  </si>
  <si>
    <t>Porta em ferro de abrir, para receber vidro, sob medida</t>
  </si>
  <si>
    <t>24.02.010</t>
  </si>
  <si>
    <t>janela no vão onde foi retirada a porta 2,00 x 1,50</t>
  </si>
  <si>
    <t>porta entre sala espera e recepção 2,90 * 2,10</t>
  </si>
  <si>
    <t>porta entrada 1,80 * 2,10</t>
  </si>
  <si>
    <t>CANTEIRO EXTERNO</t>
  </si>
  <si>
    <t>ESCAVAÇÃO MANUAL DE VALA COM PROFUNDIDADE MENOR OU IGUAL A 1,30 M. AF_02/2021</t>
  </si>
  <si>
    <t>Vidro liso transparente de 4 mm</t>
  </si>
  <si>
    <t>26.01.040</t>
  </si>
  <si>
    <t>vidro portas e vitrô</t>
  </si>
  <si>
    <t>escavação de área externa para nivelamento com o piso da calçada 3,95 m² * 0,50 h</t>
  </si>
  <si>
    <t>chapisco e reboco da alvenaria que ficará exposta após abaixamento do nível da rampa 6,60 m * 0,50 h</t>
  </si>
  <si>
    <t>colocação de terra para canteiro 3,95 m2 * 0,20 h</t>
  </si>
  <si>
    <t>3,95 m2</t>
  </si>
  <si>
    <t>2.1.1</t>
  </si>
  <si>
    <t>2.1.2</t>
  </si>
  <si>
    <t>2.1.3</t>
  </si>
  <si>
    <t>2.1.4</t>
  </si>
  <si>
    <t>2.1.5</t>
  </si>
  <si>
    <t>2.1.6</t>
  </si>
  <si>
    <t>2.1.7</t>
  </si>
  <si>
    <t>2.2.1</t>
  </si>
  <si>
    <t>2.2.2</t>
  </si>
  <si>
    <t>2.2.3</t>
  </si>
  <si>
    <t>2.3.1</t>
  </si>
  <si>
    <t>2.3.3</t>
  </si>
  <si>
    <t>2.3.4</t>
  </si>
  <si>
    <t>2.3.5</t>
  </si>
  <si>
    <t>2.4</t>
  </si>
  <si>
    <t>2.4.1</t>
  </si>
  <si>
    <t>2.4.2</t>
  </si>
  <si>
    <t>2.4.3</t>
  </si>
  <si>
    <t>2.4.4</t>
  </si>
  <si>
    <t>2.5</t>
  </si>
  <si>
    <t>2.5.1</t>
  </si>
  <si>
    <t>2.5.2</t>
  </si>
  <si>
    <t>2.5.3</t>
  </si>
  <si>
    <t>2.5.4</t>
  </si>
  <si>
    <t>2.5.5</t>
  </si>
  <si>
    <t>3.</t>
  </si>
  <si>
    <t>REFORMA SANITÁRIOS</t>
  </si>
  <si>
    <t>3.1</t>
  </si>
  <si>
    <t>Retirada de aparelho sanitário incluindo acessórios</t>
  </si>
  <si>
    <t>04.11.020</t>
  </si>
  <si>
    <t>Retirada de folha de esquadria em madeira</t>
  </si>
  <si>
    <t>04.08.020</t>
  </si>
  <si>
    <t>DEMOLIÇÃO DE REVESTIMENTO CERÂMICO, DE FORMA MANUAL, SEM REAPROVEITAMENTO. AF_09/2023 (PISO)</t>
  </si>
  <si>
    <t>DEMOLIÇÃO DE REVESTIMENTO CERÂMICO, DE FORMA MANUAL, SEM REAPROVEITAMENTO. AF_09/2023 (REVESTIMENTO)</t>
  </si>
  <si>
    <t>retirada de vasos e cubas sanitários 8 unidades</t>
  </si>
  <si>
    <t>retirada de 2 folhas de porta</t>
  </si>
  <si>
    <t>demolição piso sanitários 14,55 m²</t>
  </si>
  <si>
    <t>demolição revestimento sanitários 34,20  * 1,55 h</t>
  </si>
  <si>
    <t>REVESTIMENTO</t>
  </si>
  <si>
    <t>regularização contrapiso</t>
  </si>
  <si>
    <t>4 soleiras 0,90 cada</t>
  </si>
  <si>
    <t>reinstalação revestimento cerâmico h = 1,55 m</t>
  </si>
  <si>
    <t>LOUÇAS E METAIS</t>
  </si>
  <si>
    <t>VASO SANITARIO SIFONADO CONVENCIONAL PARA PCD SEM FURO FRONTAL COM LOUÇA BRANCA SEM ASSENTO, INCLUSO CONJUNTO DE LIGAÇÃO PARA BACIA SANITÁRIA AJUSTÁVEL - FORNECIMENTO E INSTALAÇÃO. AF_01/2020</t>
  </si>
  <si>
    <t>VASO SANITARIO SIFONADO CONVENCIONAL COM LOUÇA BRANCA, INCLUSO CONJUNTO DE LIGAÇÃO PARA BACIA SANITÁRIA AJUSTÁVEL - FORNECIMENTO E INSTALAÇÃO. AF_01/2020</t>
  </si>
  <si>
    <t>LAVATÓRIO LOUÇA BRANCA COM COLUNA, *44 X 35,5* CM, PADRÃO POPULAR - FORNECIMENTO E INSTALAÇÃO. AF_01/2020</t>
  </si>
  <si>
    <t>LAVATÓRIO LOUÇA BRANCA SUSPENSO, 29,5 X 39CM OU EQUIVALENTE, PADRÃO POPULAR - FORNECIMENTO E INSTALAÇÃO. AF_01/2020</t>
  </si>
  <si>
    <t>RALO SIFONADO, PVC, DN 100 X 40 MM, JUNTA SOLDÁVEL, FORNECIDO E INSTALADO EM RAMAL DE DESCARGA OU EM RAMAL DE ESGOTO SANITÁRIO. AF_08/2022</t>
  </si>
  <si>
    <t>Torneira de mesa automática, acionamento hidromecânico, em latão
cromado, DN= 1/2´ou 3/4</t>
  </si>
  <si>
    <t>44.03.645</t>
  </si>
  <si>
    <t>Válvula de descarga antivandalismo, DN= 1 1/2´</t>
  </si>
  <si>
    <t>47.04.050</t>
  </si>
  <si>
    <t>Folha de porta lisa comum ‐ 80 x 210 cm</t>
  </si>
  <si>
    <t>23.20.330</t>
  </si>
  <si>
    <t>Ferragem completa com maçaneta tipo alavanca, para porta externa
com 1 folha</t>
  </si>
  <si>
    <t>28.01.020</t>
  </si>
  <si>
    <t>CJ</t>
  </si>
  <si>
    <t>SANITÁRIO PNE</t>
  </si>
  <si>
    <t>3.1.1</t>
  </si>
  <si>
    <t>3.1.2</t>
  </si>
  <si>
    <t>3.1.3</t>
  </si>
  <si>
    <t>3.1.4</t>
  </si>
  <si>
    <t>3.2</t>
  </si>
  <si>
    <t>3.2.1</t>
  </si>
  <si>
    <t>3.2.2</t>
  </si>
  <si>
    <t>3.2.3</t>
  </si>
  <si>
    <t>3.4</t>
  </si>
  <si>
    <t>3.4.1</t>
  </si>
  <si>
    <t>3.3</t>
  </si>
  <si>
    <t>3.3.1</t>
  </si>
  <si>
    <t>3.3.2</t>
  </si>
  <si>
    <t>3.3.3</t>
  </si>
  <si>
    <t>3.4.2</t>
  </si>
  <si>
    <t>3.4.3</t>
  </si>
  <si>
    <t>3.4.4</t>
  </si>
  <si>
    <t>3.4.5</t>
  </si>
  <si>
    <t>3.4.6</t>
  </si>
  <si>
    <t>3.4.7</t>
  </si>
  <si>
    <t>3.5</t>
  </si>
  <si>
    <t>3.5.1</t>
  </si>
  <si>
    <t>3.5.2</t>
  </si>
  <si>
    <t>4.</t>
  </si>
  <si>
    <t>REAPRO COBERTURAS EXISTENTES</t>
  </si>
  <si>
    <t>IMPERMEABILIZAÇÃO DE SUPERFÍCIE COM MANTA ASFÁLTICA, UMA CAMADA, INCLUSIVE APLICAÇÃO DE PRIMER ASFÁLTICO, E=4MM. AF_09/2023</t>
  </si>
  <si>
    <t>Remoção de calha ou rufo</t>
  </si>
  <si>
    <t>04.30.020</t>
  </si>
  <si>
    <t>CALHA EM CHAPA DE AÇO GALVANIZADO NÚMERO 24, DESENVOLVIMENTO DE 33 CM INCLUSO TRANSPORTE VERTICAL. AF_07/2019</t>
  </si>
  <si>
    <t>51,75 M² - impermeabilização das duas lajes de cobertura existentes</t>
  </si>
  <si>
    <t>remoção de calha existente</t>
  </si>
  <si>
    <t>5,50 m instalação de calha nova</t>
  </si>
  <si>
    <t>instalação de rufo cobertura entre blocos</t>
  </si>
  <si>
    <t>4.1</t>
  </si>
  <si>
    <t>4.2</t>
  </si>
  <si>
    <t>4.3</t>
  </si>
  <si>
    <t>4.4</t>
  </si>
  <si>
    <t>5.</t>
  </si>
  <si>
    <t>5.1</t>
  </si>
  <si>
    <t>Torneira clínica com volante tipo alavanca</t>
  </si>
  <si>
    <t>44.03.300</t>
  </si>
  <si>
    <t>Retirada de torneira ou chuveiro</t>
  </si>
  <si>
    <t>04.11.120</t>
  </si>
  <si>
    <t>REMOÇÃO DE TUBULAÇÕES (TUBOS E CONEXÕES) DE ÁGUA FRIA, DE FORMA MANUAL , SEM REAPROVEITAMENTO. AF_09/2023</t>
  </si>
  <si>
    <t>PISO EM GRANITO APLICADO EM AMBIENTES INTERNOS. AF_09/2020</t>
  </si>
  <si>
    <t>vidro porta corredor</t>
  </si>
  <si>
    <t>substituição de todas as torneiras dos consultórios e salas de procedimentos</t>
  </si>
  <si>
    <t>remoção de tubulação do piso, instalações de cadeira de dentista</t>
  </si>
  <si>
    <t>fazer tipo soleira para tapar o vão onde será retirada a instaslação da cadeira de dentista</t>
  </si>
  <si>
    <t>instalação de porta no corredor 1,50 * 2,10</t>
  </si>
  <si>
    <t>5.2</t>
  </si>
  <si>
    <t>5.3</t>
  </si>
  <si>
    <t>5.4</t>
  </si>
  <si>
    <t>5.5</t>
  </si>
  <si>
    <t>5.6</t>
  </si>
  <si>
    <t>PINTURA EXTERNA</t>
  </si>
  <si>
    <t>PINTURA LÁTEX ACRÍLICA PREMIUM, APLICAÇÃO MANUAL EM PAREDES, DUAS DEMÃOS. AF_04/2023</t>
  </si>
  <si>
    <t>PINTURA TINTA DE ACABAMENTO (PIGMENTADA) ESMALTE SINTÉTICO ACETINADO EM MADEIRA, 3 DEMÃOS. AF_01/2021</t>
  </si>
  <si>
    <t>PINTURA COM TINTA ALQUÍDICA DE FUNDO E ACABAMENTO (ESMALTE SINTÉTICO GRAFITE) APLICADA A ROLO OU PINCEL SOBRE SUPERFÍCIES METÁLICAS (EXCETO PERFIL) EXECUTADO EM OBRA (POR DEMÃO). AF_01/2020</t>
  </si>
  <si>
    <t>PINTURA EXTERNA BLOCO FRENTE</t>
  </si>
  <si>
    <t>perímetro</t>
  </si>
  <si>
    <t>altura</t>
  </si>
  <si>
    <t>m2</t>
  </si>
  <si>
    <t>PINTURA EXTERNA BLOCO FUNDO</t>
  </si>
  <si>
    <t>PINTURA EXTERNA BLOCO NOVO</t>
  </si>
  <si>
    <t>lados</t>
  </si>
  <si>
    <t>beiral laje parte baixo</t>
  </si>
  <si>
    <t>beiral laje lateral</t>
  </si>
  <si>
    <t>MURETA ALAMBRADO</t>
  </si>
  <si>
    <t>parte superior</t>
  </si>
  <si>
    <t>PINTURA VERNIZ (INCOLOR) ALQUÍDICO EM MADEIRA, USO INTERNO E EXTERNO 2 DEMÃOS. AF_01/2021</t>
  </si>
  <si>
    <t>pilares e estrutura mdeira cobertura nova 0,20*0,20*3,00*6 pilares + trama madeira 30,80 m²</t>
  </si>
  <si>
    <t>PINTURA INTERNA</t>
  </si>
  <si>
    <t>33.10.041</t>
  </si>
  <si>
    <t>Esmalte à base de água em massa, inclusive preparo</t>
  </si>
  <si>
    <t>TOTAL PINTURA EXTERNA</t>
  </si>
  <si>
    <t>esquadrias metálicas 54,70 m² * 2 lados + portas internas novas 22,70 m²</t>
  </si>
  <si>
    <t>pintura externa - área esquadrias</t>
  </si>
  <si>
    <t>corredor</t>
  </si>
  <si>
    <t>sala vacina</t>
  </si>
  <si>
    <t>wc sala</t>
  </si>
  <si>
    <t xml:space="preserve">wc </t>
  </si>
  <si>
    <t>sala proced.</t>
  </si>
  <si>
    <t>recepção</t>
  </si>
  <si>
    <t>TOTAL PINTURA INTERNA</t>
  </si>
  <si>
    <t>PINTURA LAJE INTERNA</t>
  </si>
  <si>
    <t>TOTAL</t>
  </si>
  <si>
    <t>PINTURA LÁTEX ACRÍLICA ECONÔMICA, APLICAÇÃO MANUAL EM TETO, DUAS DEMÃOS. AF_04/2023</t>
  </si>
  <si>
    <t>pintura laje interna</t>
  </si>
  <si>
    <t>pintura portas internas 23 unidades * 0,80 * 2,10 * 2 lados</t>
  </si>
  <si>
    <t>pintura interna 974,40 m² - área portas</t>
  </si>
  <si>
    <t>6.</t>
  </si>
  <si>
    <t>6.1</t>
  </si>
  <si>
    <t>7.3</t>
  </si>
  <si>
    <t>6.2</t>
  </si>
  <si>
    <t>6.3</t>
  </si>
  <si>
    <t>7.</t>
  </si>
  <si>
    <t>7.1</t>
  </si>
  <si>
    <t>7.2</t>
  </si>
  <si>
    <t>APLICAÇÃO MANUAL DE TINTA LÁTEX ACRÍLICA EM PAREDE EXTERNAS DE CASAS, DUAS DEMÃOS. AF_03/2024</t>
  </si>
  <si>
    <t>1.5.10</t>
  </si>
  <si>
    <t>Testeira em tábua aparelhada, largura até 20cm</t>
  </si>
  <si>
    <t>22.01.210</t>
  </si>
  <si>
    <t>tabeira telhado</t>
  </si>
  <si>
    <t>2.1.8</t>
  </si>
  <si>
    <t xml:space="preserve">demolição do contrapiso </t>
  </si>
  <si>
    <t>3.2.4</t>
  </si>
  <si>
    <t>3.3.4</t>
  </si>
  <si>
    <t>TOTAL GERAL</t>
  </si>
  <si>
    <t>1º MÊS</t>
  </si>
  <si>
    <t>2º MÊS</t>
  </si>
  <si>
    <t>3º MÊS</t>
  </si>
  <si>
    <t>CRONOGRAMA FÍSICO-FINANCEIRO</t>
  </si>
  <si>
    <t>REVESTIMENTO CERÂMICO PARA PISO COM PLACAS TIPO PORCELANATO DE DIMENSÕES 60X60 CM APLICADA EM AMBIENTES DE ÁREA ENTRE 5 M² E 10 M². AF_02/2023_PE</t>
  </si>
  <si>
    <t>versão 196</t>
  </si>
  <si>
    <t>Tietê, 07 de março de 2025.</t>
  </si>
  <si>
    <t>Álvaro Floriam Gebraiel Bellaz</t>
  </si>
  <si>
    <t>Engenheiro Civil</t>
  </si>
  <si>
    <t>CREA: 507.011.280-5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</si>
</sst>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1">
    <xf numFmtId="0" fontId="0" fillId="0" borderId="0" xfId="0"/>
    <xf numFmtId="4" fontId="3" fillId="2" borderId="0" xfId="0" applyNumberFormat="1" applyFont="1" applyFill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vertical="top"/>
    </xf>
    <xf numFmtId="1" fontId="8" fillId="0" borderId="0" xfId="0" applyNumberFormat="1" applyFont="1" applyAlignment="1">
      <alignment vertical="top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164" fontId="10" fillId="3" borderId="9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4" fontId="5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2" fontId="9" fillId="3" borderId="3" xfId="0" applyNumberFormat="1" applyFont="1" applyFill="1" applyBorder="1" applyAlignment="1" applyProtection="1">
      <alignment horizontal="center" vertical="center"/>
      <protection locked="0"/>
    </xf>
    <xf numFmtId="44" fontId="9" fillId="3" borderId="3" xfId="1" applyFont="1" applyFill="1" applyBorder="1" applyAlignment="1" applyProtection="1">
      <alignment horizontal="left" vertical="center"/>
      <protection locked="0"/>
    </xf>
    <xf numFmtId="44" fontId="9" fillId="3" borderId="4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2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5" xfId="1" applyFont="1" applyFill="1" applyBorder="1" applyAlignment="1" applyProtection="1">
      <alignment horizontal="left" vertical="center" wrapText="1"/>
      <protection locked="0"/>
    </xf>
    <xf numFmtId="44" fontId="2" fillId="2" borderId="5" xfId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2" borderId="1" xfId="1" applyFont="1" applyFill="1" applyBorder="1" applyAlignment="1" applyProtection="1">
      <alignment horizontal="left" vertical="center" wrapText="1"/>
      <protection locked="0"/>
    </xf>
    <xf numFmtId="44" fontId="2" fillId="2" borderId="1" xfId="1" applyFont="1" applyFill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44" fontId="2" fillId="0" borderId="1" xfId="1" applyFont="1" applyFill="1" applyBorder="1" applyAlignment="1" applyProtection="1">
      <alignment horizontal="left" vertical="center" wrapText="1"/>
      <protection locked="0"/>
    </xf>
    <xf numFmtId="44" fontId="2" fillId="0" borderId="1" xfId="1" applyFont="1" applyFill="1" applyBorder="1" applyAlignment="1" applyProtection="1">
      <alignment horizontal="right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2" fontId="9" fillId="3" borderId="11" xfId="0" applyNumberFormat="1" applyFont="1" applyFill="1" applyBorder="1" applyAlignment="1" applyProtection="1">
      <alignment horizontal="center" vertical="center" wrapText="1"/>
      <protection locked="0"/>
    </xf>
    <xf numFmtId="44" fontId="9" fillId="3" borderId="11" xfId="1" applyFont="1" applyFill="1" applyBorder="1" applyAlignment="1" applyProtection="1">
      <alignment horizontal="left" vertical="center" wrapText="1"/>
      <protection locked="0"/>
    </xf>
    <xf numFmtId="44" fontId="9" fillId="3" borderId="12" xfId="1" applyFont="1" applyFill="1" applyBorder="1" applyAlignment="1" applyProtection="1">
      <alignment horizontal="righ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0" borderId="1" xfId="0" applyNumberFormat="1" applyFont="1" applyBorder="1" applyAlignment="1">
      <alignment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vertical="center"/>
    </xf>
    <xf numFmtId="44" fontId="9" fillId="3" borderId="1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>
      <alignment horizontal="center" vertical="center"/>
    </xf>
    <xf numFmtId="17" fontId="3" fillId="3" borderId="7" xfId="0" applyNumberFormat="1" applyFont="1" applyFill="1" applyBorder="1" applyAlignment="1">
      <alignment horizontal="center" vertical="center"/>
    </xf>
    <xf numFmtId="44" fontId="9" fillId="3" borderId="12" xfId="1" applyFont="1" applyFill="1" applyBorder="1" applyAlignment="1" applyProtection="1">
      <alignment horizontal="left" vertical="center" wrapText="1"/>
      <protection locked="0"/>
    </xf>
    <xf numFmtId="44" fontId="2" fillId="0" borderId="1" xfId="0" applyNumberFormat="1" applyFont="1" applyBorder="1" applyAlignment="1">
      <alignment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9" fillId="3" borderId="4" xfId="1" applyFont="1" applyFill="1" applyBorder="1" applyAlignment="1" applyProtection="1">
      <alignment horizontal="left" vertical="center" wrapText="1"/>
      <protection locked="0"/>
    </xf>
    <xf numFmtId="44" fontId="3" fillId="0" borderId="1" xfId="0" applyNumberFormat="1" applyFont="1" applyBorder="1" applyAlignment="1">
      <alignment vertical="center" wrapText="1"/>
    </xf>
    <xf numFmtId="17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0" fontId="3" fillId="3" borderId="6" xfId="0" applyNumberFormat="1" applyFont="1" applyFill="1" applyBorder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left" vertical="center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2" fontId="9" fillId="3" borderId="11" xfId="0" applyNumberFormat="1" applyFont="1" applyFill="1" applyBorder="1" applyAlignment="1" applyProtection="1">
      <alignment horizontal="center" vertical="center"/>
      <protection locked="0"/>
    </xf>
    <xf numFmtId="44" fontId="9" fillId="3" borderId="11" xfId="1" applyFont="1" applyFill="1" applyBorder="1" applyAlignment="1" applyProtection="1">
      <alignment horizontal="left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4" fontId="2" fillId="3" borderId="1" xfId="1" applyFont="1" applyFill="1" applyBorder="1" applyAlignment="1" applyProtection="1">
      <alignment horizontal="left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4" fontId="2" fillId="3" borderId="5" xfId="1" applyFont="1" applyFill="1" applyBorder="1" applyAlignment="1" applyProtection="1">
      <alignment horizontal="left" vertical="center" wrapText="1"/>
      <protection locked="0"/>
    </xf>
    <xf numFmtId="44" fontId="2" fillId="2" borderId="12" xfId="1" applyFont="1" applyFill="1" applyBorder="1" applyAlignment="1" applyProtection="1">
      <alignment horizontal="left" vertical="center" wrapText="1"/>
      <protection locked="0"/>
    </xf>
    <xf numFmtId="44" fontId="3" fillId="3" borderId="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44" fontId="3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44" fontId="3" fillId="0" borderId="6" xfId="0" applyNumberFormat="1" applyFont="1" applyBorder="1" applyAlignment="1">
      <alignment vertical="center" wrapText="1"/>
    </xf>
    <xf numFmtId="0" fontId="9" fillId="3" borderId="8" xfId="0" applyFont="1" applyFill="1" applyBorder="1" applyAlignment="1">
      <alignment vertical="center"/>
    </xf>
    <xf numFmtId="44" fontId="3" fillId="3" borderId="9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  <xf numFmtId="0" fontId="12" fillId="0" borderId="0" xfId="0" applyFont="1"/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2" fillId="3" borderId="8" xfId="0" applyFont="1" applyFill="1" applyBorder="1" applyAlignment="1">
      <alignment vertical="center" wrapText="1"/>
    </xf>
    <xf numFmtId="17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0" fillId="0" borderId="1" xfId="0" applyBorder="1"/>
    <xf numFmtId="44" fontId="0" fillId="0" borderId="1" xfId="0" applyNumberFormat="1" applyBorder="1"/>
    <xf numFmtId="44" fontId="0" fillId="3" borderId="1" xfId="0" applyNumberFormat="1" applyFill="1" applyBorder="1" applyAlignment="1">
      <alignment vertical="center"/>
    </xf>
    <xf numFmtId="44" fontId="0" fillId="0" borderId="0" xfId="0" applyNumberFormat="1"/>
    <xf numFmtId="0" fontId="0" fillId="0" borderId="0" xfId="0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44" fontId="2" fillId="2" borderId="5" xfId="1" applyFont="1" applyFill="1" applyBorder="1" applyAlignment="1" applyProtection="1">
      <alignment horizontal="center" vertical="center" wrapText="1"/>
      <protection locked="0"/>
    </xf>
    <xf numFmtId="44" fontId="2" fillId="2" borderId="6" xfId="1" applyFont="1" applyFill="1" applyBorder="1" applyAlignment="1" applyProtection="1">
      <alignment horizontal="center" vertical="center" wrapText="1"/>
      <protection locked="0"/>
    </xf>
    <xf numFmtId="44" fontId="2" fillId="2" borderId="13" xfId="1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24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8432" y="441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8432" y="441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68432" y="441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21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8432" y="4411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121227</xdr:rowOff>
    </xdr:from>
    <xdr:to>
      <xdr:col>5</xdr:col>
      <xdr:colOff>736022</xdr:colOff>
      <xdr:row>5</xdr:row>
      <xdr:rowOff>167949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1" y="121227"/>
          <a:ext cx="7963765" cy="1504047"/>
        </a:xfrm>
        <a:prstGeom prst="rect">
          <a:avLst/>
        </a:prstGeom>
      </xdr:spPr>
    </xdr:pic>
    <xdr:clientData/>
  </xdr:twoCellAnchor>
  <xdr:twoCellAnchor>
    <xdr:from>
      <xdr:col>3</xdr:col>
      <xdr:colOff>155864</xdr:colOff>
      <xdr:row>14</xdr:row>
      <xdr:rowOff>164522</xdr:rowOff>
    </xdr:from>
    <xdr:to>
      <xdr:col>4</xdr:col>
      <xdr:colOff>1039091</xdr:colOff>
      <xdr:row>14</xdr:row>
      <xdr:rowOff>173181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80364" y="3654136"/>
          <a:ext cx="2043545" cy="865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126423</xdr:colOff>
      <xdr:row>15</xdr:row>
      <xdr:rowOff>169717</xdr:rowOff>
    </xdr:from>
    <xdr:to>
      <xdr:col>3</xdr:col>
      <xdr:colOff>1065068</xdr:colOff>
      <xdr:row>15</xdr:row>
      <xdr:rowOff>173181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650923" y="4126922"/>
          <a:ext cx="938645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114301</xdr:colOff>
      <xdr:row>17</xdr:row>
      <xdr:rowOff>157595</xdr:rowOff>
    </xdr:from>
    <xdr:to>
      <xdr:col>4</xdr:col>
      <xdr:colOff>1052946</xdr:colOff>
      <xdr:row>17</xdr:row>
      <xdr:rowOff>161059</xdr:rowOff>
    </xdr:to>
    <xdr:cxnSp macro="">
      <xdr:nvCxnSpPr>
        <xdr:cNvPr id="16" name="Conector re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6799119" y="5049981"/>
          <a:ext cx="938645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102179</xdr:colOff>
      <xdr:row>18</xdr:row>
      <xdr:rowOff>162791</xdr:rowOff>
    </xdr:from>
    <xdr:to>
      <xdr:col>5</xdr:col>
      <xdr:colOff>1040824</xdr:colOff>
      <xdr:row>18</xdr:row>
      <xdr:rowOff>166255</xdr:rowOff>
    </xdr:to>
    <xdr:cxnSp macro="">
      <xdr:nvCxnSpPr>
        <xdr:cNvPr id="17" name="Conector re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938656" y="5522768"/>
          <a:ext cx="938645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107375</xdr:colOff>
      <xdr:row>19</xdr:row>
      <xdr:rowOff>176646</xdr:rowOff>
    </xdr:from>
    <xdr:to>
      <xdr:col>5</xdr:col>
      <xdr:colOff>1046020</xdr:colOff>
      <xdr:row>19</xdr:row>
      <xdr:rowOff>180110</xdr:rowOff>
    </xdr:to>
    <xdr:cxnSp macro="">
      <xdr:nvCxnSpPr>
        <xdr:cNvPr id="18" name="Conector re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961170" y="6004214"/>
          <a:ext cx="938645" cy="3464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121229</xdr:colOff>
      <xdr:row>20</xdr:row>
      <xdr:rowOff>164523</xdr:rowOff>
    </xdr:from>
    <xdr:to>
      <xdr:col>5</xdr:col>
      <xdr:colOff>1030432</xdr:colOff>
      <xdr:row>20</xdr:row>
      <xdr:rowOff>173182</xdr:rowOff>
    </xdr:to>
    <xdr:cxnSp macro="">
      <xdr:nvCxnSpPr>
        <xdr:cNvPr id="19" name="Conector re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806047" y="6459682"/>
          <a:ext cx="2060862" cy="865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152400</xdr:colOff>
      <xdr:row>16</xdr:row>
      <xdr:rowOff>161059</xdr:rowOff>
    </xdr:from>
    <xdr:to>
      <xdr:col>4</xdr:col>
      <xdr:colOff>1035627</xdr:colOff>
      <xdr:row>16</xdr:row>
      <xdr:rowOff>169718</xdr:rowOff>
    </xdr:to>
    <xdr:cxnSp macro="">
      <xdr:nvCxnSpPr>
        <xdr:cNvPr id="21" name="Conector re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5676900" y="4585854"/>
          <a:ext cx="2043545" cy="865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129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476251</xdr:colOff>
      <xdr:row>0</xdr:row>
      <xdr:rowOff>121227</xdr:rowOff>
    </xdr:from>
    <xdr:to>
      <xdr:col>7</xdr:col>
      <xdr:colOff>943841</xdr:colOff>
      <xdr:row>5</xdr:row>
      <xdr:rowOff>167949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87" y="121227"/>
          <a:ext cx="7966363" cy="15014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115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268432" y="4765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enharia%20e%20Arquitetura/Arquivos%20compartilhados/05-%20PROJETOS%20OBRAS%201/EDUCA&#199;&#195;O/EMEB%20PAULO/PROJETO%20REFORMA%202022/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31"/>
  <sheetViews>
    <sheetView tabSelected="1" topLeftCell="A7" zoomScale="110" zoomScaleNormal="110" workbookViewId="0">
      <selection activeCell="B25" sqref="B25:F25"/>
    </sheetView>
  </sheetViews>
  <sheetFormatPr defaultRowHeight="15" x14ac:dyDescent="0.25"/>
  <cols>
    <col min="1" max="1" width="9.140625" style="4"/>
    <col min="2" max="2" width="55.7109375" style="2" customWidth="1"/>
    <col min="3" max="3" width="18" style="2" customWidth="1"/>
    <col min="4" max="4" width="17.42578125" customWidth="1"/>
    <col min="5" max="5" width="17.28515625" customWidth="1"/>
    <col min="6" max="6" width="17.42578125" customWidth="1"/>
  </cols>
  <sheetData>
    <row r="5" spans="1:6" ht="54.75" customHeight="1" x14ac:dyDescent="0.25">
      <c r="A5" s="68"/>
      <c r="B5" s="16"/>
      <c r="C5" s="19"/>
      <c r="D5" s="10"/>
    </row>
    <row r="6" spans="1:6" x14ac:dyDescent="0.25">
      <c r="A6" s="68"/>
      <c r="B6" s="16"/>
      <c r="C6" s="20"/>
      <c r="D6" s="11"/>
    </row>
    <row r="7" spans="1:6" x14ac:dyDescent="0.25">
      <c r="A7" s="129" t="s">
        <v>356</v>
      </c>
      <c r="B7" s="129"/>
      <c r="C7" s="129"/>
      <c r="D7" s="129"/>
      <c r="E7" s="129"/>
      <c r="F7" s="129"/>
    </row>
    <row r="8" spans="1:6" ht="18" customHeight="1" x14ac:dyDescent="0.25">
      <c r="A8" s="129"/>
      <c r="B8" s="129"/>
      <c r="C8" s="129"/>
      <c r="D8" s="129"/>
      <c r="E8" s="129"/>
      <c r="F8" s="129"/>
    </row>
    <row r="9" spans="1:6" ht="15.75" x14ac:dyDescent="0.25">
      <c r="A9" s="130" t="s">
        <v>30</v>
      </c>
      <c r="B9" s="130"/>
      <c r="C9" s="120"/>
      <c r="D9" s="5"/>
    </row>
    <row r="10" spans="1:6" x14ac:dyDescent="0.25">
      <c r="A10" s="131" t="s">
        <v>31</v>
      </c>
      <c r="B10" s="131"/>
      <c r="C10" s="121"/>
      <c r="D10" s="5"/>
    </row>
    <row r="11" spans="1:6" x14ac:dyDescent="0.25">
      <c r="A11" s="13"/>
      <c r="B11" s="17"/>
      <c r="C11" s="17"/>
      <c r="D11" s="6"/>
    </row>
    <row r="12" spans="1:6" x14ac:dyDescent="0.25">
      <c r="A12" s="13"/>
      <c r="B12" s="17"/>
      <c r="C12" s="17"/>
      <c r="D12" s="6"/>
    </row>
    <row r="14" spans="1:6" ht="36.75" customHeight="1" x14ac:dyDescent="0.25">
      <c r="A14" s="122" t="s">
        <v>2</v>
      </c>
      <c r="B14" s="122" t="s">
        <v>4</v>
      </c>
      <c r="C14" s="122" t="s">
        <v>9</v>
      </c>
      <c r="D14" s="123" t="s">
        <v>353</v>
      </c>
      <c r="E14" s="123" t="s">
        <v>354</v>
      </c>
      <c r="F14" s="123" t="s">
        <v>355</v>
      </c>
    </row>
    <row r="15" spans="1:6" ht="36.75" customHeight="1" x14ac:dyDescent="0.25">
      <c r="A15" s="45" t="s">
        <v>18</v>
      </c>
      <c r="B15" s="118" t="s">
        <v>44</v>
      </c>
      <c r="C15" s="48">
        <f>Planilha1!I15</f>
        <v>56551.762519772303</v>
      </c>
      <c r="D15" s="125">
        <f>C15/2</f>
        <v>28275.881259886151</v>
      </c>
      <c r="E15" s="125">
        <f>C15/2</f>
        <v>28275.881259886151</v>
      </c>
      <c r="F15" s="124"/>
    </row>
    <row r="16" spans="1:6" ht="36.75" customHeight="1" x14ac:dyDescent="0.25">
      <c r="A16" s="45" t="s">
        <v>135</v>
      </c>
      <c r="B16" s="67" t="s">
        <v>136</v>
      </c>
      <c r="C16" s="48">
        <f>Planilha1!I54</f>
        <v>38261.921422207997</v>
      </c>
      <c r="D16" s="125">
        <f>C16</f>
        <v>38261.921422207997</v>
      </c>
      <c r="E16" s="124"/>
      <c r="F16" s="124"/>
    </row>
    <row r="17" spans="1:6" ht="36.75" customHeight="1" x14ac:dyDescent="0.25">
      <c r="A17" s="45" t="s">
        <v>211</v>
      </c>
      <c r="B17" s="67" t="s">
        <v>212</v>
      </c>
      <c r="C17" s="48">
        <f>Planilha1!I85</f>
        <v>25461.913231959999</v>
      </c>
      <c r="D17" s="125">
        <f>C17/2</f>
        <v>12730.95661598</v>
      </c>
      <c r="E17" s="125">
        <f>C17/2</f>
        <v>12730.95661598</v>
      </c>
      <c r="F17" s="124"/>
    </row>
    <row r="18" spans="1:6" ht="36.75" customHeight="1" x14ac:dyDescent="0.25">
      <c r="A18" s="45" t="s">
        <v>267</v>
      </c>
      <c r="B18" s="67" t="s">
        <v>268</v>
      </c>
      <c r="C18" s="48">
        <f>Planilha1!I110</f>
        <v>9028.9384772499998</v>
      </c>
      <c r="D18" s="124"/>
      <c r="E18" s="125">
        <f>C18</f>
        <v>9028.9384772499998</v>
      </c>
      <c r="F18" s="124"/>
    </row>
    <row r="19" spans="1:6" ht="36.75" customHeight="1" x14ac:dyDescent="0.25">
      <c r="A19" s="45" t="s">
        <v>281</v>
      </c>
      <c r="B19" s="67" t="s">
        <v>103</v>
      </c>
      <c r="C19" s="48">
        <f>Planilha1!I115</f>
        <v>9296.2825266999989</v>
      </c>
      <c r="D19" s="124"/>
      <c r="E19" s="124"/>
      <c r="F19" s="125">
        <f>C19</f>
        <v>9296.2825266999989</v>
      </c>
    </row>
    <row r="20" spans="1:6" ht="36.75" customHeight="1" x14ac:dyDescent="0.25">
      <c r="A20" s="45" t="s">
        <v>335</v>
      </c>
      <c r="B20" s="67" t="s">
        <v>299</v>
      </c>
      <c r="C20" s="48">
        <f>Planilha1!I122</f>
        <v>18425.269288202497</v>
      </c>
      <c r="D20" s="124"/>
      <c r="E20" s="124"/>
      <c r="F20" s="125">
        <f>C20</f>
        <v>18425.269288202497</v>
      </c>
    </row>
    <row r="21" spans="1:6" ht="36.75" customHeight="1" x14ac:dyDescent="0.25">
      <c r="A21" s="45" t="s">
        <v>340</v>
      </c>
      <c r="B21" s="67" t="s">
        <v>316</v>
      </c>
      <c r="C21" s="48">
        <f>Planilha1!I126</f>
        <v>48113.309829809994</v>
      </c>
      <c r="D21" s="124"/>
      <c r="E21" s="125">
        <f>C21/2</f>
        <v>24056.654914904997</v>
      </c>
      <c r="F21" s="125">
        <f>C21/2</f>
        <v>24056.654914904997</v>
      </c>
    </row>
    <row r="22" spans="1:6" ht="29.25" customHeight="1" x14ac:dyDescent="0.25">
      <c r="A22" s="74"/>
      <c r="B22" s="119" t="s">
        <v>352</v>
      </c>
      <c r="C22" s="9">
        <f>SUM(C15:C21)</f>
        <v>205139.39729590277</v>
      </c>
      <c r="D22" s="126">
        <f>SUM(D15:D21)</f>
        <v>79268.759298074146</v>
      </c>
      <c r="E22" s="126">
        <f>SUM(E15:E21)</f>
        <v>74092.431268021144</v>
      </c>
      <c r="F22" s="126">
        <f>SUM(F15:F21)</f>
        <v>51778.206729807491</v>
      </c>
    </row>
    <row r="24" spans="1:6" x14ac:dyDescent="0.25">
      <c r="C24" s="4"/>
    </row>
    <row r="25" spans="1:6" x14ac:dyDescent="0.25">
      <c r="B25" s="128" t="s">
        <v>359</v>
      </c>
      <c r="C25" s="128"/>
      <c r="D25" s="128"/>
      <c r="E25" s="128"/>
      <c r="F25" s="128"/>
    </row>
    <row r="26" spans="1:6" x14ac:dyDescent="0.25">
      <c r="B26" s="4"/>
      <c r="C26" s="4"/>
      <c r="D26" s="4"/>
      <c r="E26" s="4"/>
      <c r="F26" s="4"/>
    </row>
    <row r="27" spans="1:6" x14ac:dyDescent="0.25">
      <c r="B27" s="128"/>
      <c r="C27" s="128"/>
      <c r="D27" s="128"/>
      <c r="E27" s="128"/>
      <c r="F27" s="128"/>
    </row>
    <row r="28" spans="1:6" x14ac:dyDescent="0.25">
      <c r="B28" s="128" t="s">
        <v>360</v>
      </c>
      <c r="C28" s="128"/>
      <c r="D28" s="128"/>
      <c r="E28" s="128"/>
      <c r="F28" s="128"/>
    </row>
    <row r="29" spans="1:6" x14ac:dyDescent="0.25">
      <c r="B29" s="128" t="s">
        <v>361</v>
      </c>
      <c r="C29" s="128"/>
      <c r="D29" s="128"/>
      <c r="E29" s="128"/>
      <c r="F29" s="128"/>
    </row>
    <row r="30" spans="1:6" x14ac:dyDescent="0.25">
      <c r="B30" s="128" t="s">
        <v>362</v>
      </c>
      <c r="C30" s="128"/>
      <c r="D30" s="128"/>
      <c r="E30" s="128"/>
      <c r="F30" s="128"/>
    </row>
    <row r="31" spans="1:6" x14ac:dyDescent="0.25">
      <c r="B31" s="128" t="s">
        <v>29</v>
      </c>
      <c r="C31" s="128"/>
      <c r="D31" s="128"/>
      <c r="E31" s="128"/>
      <c r="F31" s="128"/>
    </row>
  </sheetData>
  <mergeCells count="9">
    <mergeCell ref="B31:F31"/>
    <mergeCell ref="A7:F8"/>
    <mergeCell ref="A9:B9"/>
    <mergeCell ref="A10:B10"/>
    <mergeCell ref="B25:F25"/>
    <mergeCell ref="B27:F27"/>
    <mergeCell ref="B28:F28"/>
    <mergeCell ref="B29:F29"/>
    <mergeCell ref="B30:F30"/>
  </mergeCells>
  <conditionalFormatting sqref="A16:A21">
    <cfRule type="expression" dxfId="241" priority="210">
      <formula>IF($F16="I",TRUE,FALSE)</formula>
    </cfRule>
    <cfRule type="expression" dxfId="240" priority="211">
      <formula>IF($F16="T",TRUE,FALSE)</formula>
    </cfRule>
  </conditionalFormatting>
  <conditionalFormatting sqref="A15:B15 C15:C21">
    <cfRule type="expression" dxfId="239" priority="315">
      <formula>IF($F15="I",TRUE,FALSE)</formula>
    </cfRule>
    <cfRule type="expression" dxfId="238" priority="316">
      <formula>IF($F15="T",TRUE,FALSE)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4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K138"/>
  <sheetViews>
    <sheetView topLeftCell="A124" zoomScale="110" zoomScaleNormal="110" workbookViewId="0">
      <selection activeCell="E133" sqref="E133:I133"/>
    </sheetView>
  </sheetViews>
  <sheetFormatPr defaultRowHeight="15" x14ac:dyDescent="0.25"/>
  <cols>
    <col min="1" max="1" width="9.140625" style="4"/>
    <col min="2" max="2" width="10.85546875" style="4" bestFit="1" customWidth="1"/>
    <col min="3" max="3" width="10.85546875" style="4" customWidth="1"/>
    <col min="4" max="4" width="55.7109375" style="2" customWidth="1"/>
    <col min="5" max="5" width="9.140625" style="2"/>
    <col min="6" max="6" width="11.28515625" style="4" bestFit="1" customWidth="1"/>
    <col min="7" max="7" width="14.5703125" style="2" customWidth="1"/>
    <col min="8" max="8" width="14.85546875" style="2" customWidth="1"/>
    <col min="9" max="9" width="16.42578125" style="2" customWidth="1"/>
    <col min="11" max="11" width="14.42578125" bestFit="1" customWidth="1"/>
  </cols>
  <sheetData>
    <row r="5" spans="1:10" ht="54.75" customHeight="1" x14ac:dyDescent="0.25">
      <c r="A5" s="68"/>
      <c r="B5" s="13"/>
      <c r="C5" s="13"/>
      <c r="D5" s="16"/>
      <c r="E5" s="17"/>
      <c r="F5" s="13"/>
      <c r="G5" s="133"/>
      <c r="H5" s="18"/>
      <c r="I5" s="19"/>
      <c r="J5" s="10"/>
    </row>
    <row r="6" spans="1:10" x14ac:dyDescent="0.25">
      <c r="A6" s="68"/>
      <c r="B6" s="13"/>
      <c r="C6" s="13"/>
      <c r="D6" s="16"/>
      <c r="E6" s="17"/>
      <c r="F6" s="13"/>
      <c r="G6" s="133"/>
      <c r="H6" s="18"/>
      <c r="I6" s="20"/>
      <c r="J6" s="11"/>
    </row>
    <row r="7" spans="1:10" x14ac:dyDescent="0.25">
      <c r="A7" s="68"/>
      <c r="B7" s="13"/>
      <c r="C7" s="13"/>
      <c r="D7" s="16"/>
      <c r="E7" s="17"/>
      <c r="F7" s="13"/>
      <c r="G7" s="133"/>
      <c r="H7" s="21"/>
      <c r="I7" s="22"/>
      <c r="J7" s="12"/>
    </row>
    <row r="8" spans="1:10" ht="18" customHeight="1" x14ac:dyDescent="0.25">
      <c r="A8" s="135" t="s">
        <v>17</v>
      </c>
      <c r="B8" s="135"/>
      <c r="C8" s="135"/>
      <c r="D8" s="135"/>
      <c r="E8" s="135"/>
      <c r="F8" s="135"/>
      <c r="G8" s="135"/>
      <c r="H8" s="135"/>
      <c r="I8" s="135"/>
      <c r="J8" s="1"/>
    </row>
    <row r="9" spans="1:10" ht="15.75" x14ac:dyDescent="0.25">
      <c r="A9" s="130" t="s">
        <v>30</v>
      </c>
      <c r="B9" s="130"/>
      <c r="C9" s="130"/>
      <c r="D9" s="130"/>
      <c r="E9" s="23"/>
      <c r="F9" s="14"/>
      <c r="G9" s="134" t="s">
        <v>14</v>
      </c>
      <c r="H9" s="29" t="s">
        <v>24</v>
      </c>
      <c r="I9" s="83">
        <v>45627</v>
      </c>
      <c r="J9" s="5"/>
    </row>
    <row r="10" spans="1:10" x14ac:dyDescent="0.25">
      <c r="A10" s="131" t="s">
        <v>31</v>
      </c>
      <c r="B10" s="131"/>
      <c r="C10" s="131"/>
      <c r="D10" s="131"/>
      <c r="E10" s="24"/>
      <c r="F10" s="25"/>
      <c r="G10" s="134"/>
      <c r="H10" s="75" t="s">
        <v>10</v>
      </c>
      <c r="I10" s="84" t="s">
        <v>358</v>
      </c>
      <c r="J10" s="5"/>
    </row>
    <row r="11" spans="1:10" x14ac:dyDescent="0.25">
      <c r="A11" s="13"/>
      <c r="B11" s="13"/>
      <c r="C11" s="13"/>
      <c r="D11" s="17"/>
      <c r="E11" s="17"/>
      <c r="F11" s="26"/>
      <c r="G11" s="27" t="s">
        <v>1</v>
      </c>
      <c r="H11" s="85">
        <v>0.22470000000000001</v>
      </c>
      <c r="I11" s="17"/>
      <c r="J11" s="6"/>
    </row>
    <row r="12" spans="1:10" x14ac:dyDescent="0.25">
      <c r="A12" s="13"/>
      <c r="B12" s="13"/>
      <c r="C12" s="13"/>
      <c r="D12" s="17"/>
      <c r="E12" s="17"/>
      <c r="F12" s="26"/>
      <c r="G12" s="27" t="s">
        <v>0</v>
      </c>
      <c r="H12" s="86">
        <v>45717</v>
      </c>
      <c r="I12" s="17"/>
      <c r="J12" s="6"/>
    </row>
    <row r="14" spans="1:10" x14ac:dyDescent="0.25">
      <c r="A14" s="15" t="s">
        <v>2</v>
      </c>
      <c r="B14" s="15" t="s">
        <v>3</v>
      </c>
      <c r="C14" s="15" t="s">
        <v>16</v>
      </c>
      <c r="D14" s="15" t="s">
        <v>4</v>
      </c>
      <c r="E14" s="15" t="s">
        <v>5</v>
      </c>
      <c r="F14" s="15" t="s">
        <v>6</v>
      </c>
      <c r="G14" s="15" t="s">
        <v>7</v>
      </c>
      <c r="H14" s="15" t="s">
        <v>8</v>
      </c>
      <c r="I14" s="15" t="s">
        <v>9</v>
      </c>
    </row>
    <row r="15" spans="1:10" ht="15" customHeight="1" x14ac:dyDescent="0.25">
      <c r="A15" s="69" t="s">
        <v>18</v>
      </c>
      <c r="B15" s="30"/>
      <c r="C15" s="30"/>
      <c r="D15" s="31" t="s">
        <v>44</v>
      </c>
      <c r="E15" s="32"/>
      <c r="F15" s="33"/>
      <c r="G15" s="34"/>
      <c r="H15" s="34"/>
      <c r="I15" s="35">
        <f>SUM(I17:I53)</f>
        <v>56551.762519772303</v>
      </c>
    </row>
    <row r="16" spans="1:10" ht="15" customHeight="1" x14ac:dyDescent="0.25">
      <c r="A16" s="87" t="s">
        <v>19</v>
      </c>
      <c r="B16" s="88"/>
      <c r="C16" s="49"/>
      <c r="D16" s="89" t="s">
        <v>43</v>
      </c>
      <c r="E16" s="90"/>
      <c r="F16" s="91"/>
      <c r="G16" s="92"/>
      <c r="H16" s="92"/>
      <c r="I16" s="52"/>
    </row>
    <row r="17" spans="1:9" ht="51" x14ac:dyDescent="0.25">
      <c r="A17" s="45" t="s">
        <v>34</v>
      </c>
      <c r="B17" s="54">
        <v>104801</v>
      </c>
      <c r="C17" s="55" t="s">
        <v>25</v>
      </c>
      <c r="D17" s="56" t="s">
        <v>36</v>
      </c>
      <c r="E17" s="37" t="s">
        <v>12</v>
      </c>
      <c r="F17" s="38">
        <f>'memória de cálculo'!D5</f>
        <v>13.640000000000002</v>
      </c>
      <c r="G17" s="39">
        <v>18.52</v>
      </c>
      <c r="H17" s="57">
        <f t="shared" ref="H17" si="0">G17*(1+$H$11)</f>
        <v>22.681443999999999</v>
      </c>
      <c r="I17" s="40">
        <f t="shared" ref="I17" si="1">H17*F17</f>
        <v>309.37489616000005</v>
      </c>
    </row>
    <row r="18" spans="1:9" ht="25.5" x14ac:dyDescent="0.25">
      <c r="A18" s="37" t="s">
        <v>20</v>
      </c>
      <c r="B18" s="58">
        <v>97622</v>
      </c>
      <c r="C18" s="55" t="s">
        <v>25</v>
      </c>
      <c r="D18" s="59" t="s">
        <v>26</v>
      </c>
      <c r="E18" s="37" t="s">
        <v>13</v>
      </c>
      <c r="F18" s="38">
        <f>'memória de cálculo'!D6</f>
        <v>0.49600000000000011</v>
      </c>
      <c r="G18" s="39">
        <v>76.290000000000006</v>
      </c>
      <c r="H18" s="57">
        <f t="shared" ref="H18:H21" si="2">G18*(1+$H$11)</f>
        <v>93.432362999999995</v>
      </c>
      <c r="I18" s="40">
        <f>H18*F18</f>
        <v>46.342452048000006</v>
      </c>
    </row>
    <row r="19" spans="1:9" x14ac:dyDescent="0.25">
      <c r="A19" s="45" t="s">
        <v>21</v>
      </c>
      <c r="B19" s="54" t="s">
        <v>40</v>
      </c>
      <c r="C19" s="54" t="s">
        <v>10</v>
      </c>
      <c r="D19" s="56" t="s">
        <v>39</v>
      </c>
      <c r="E19" s="41" t="s">
        <v>11</v>
      </c>
      <c r="F19" s="42">
        <f>'memória de cálculo'!D7</f>
        <v>1</v>
      </c>
      <c r="G19" s="43">
        <v>27.74</v>
      </c>
      <c r="H19" s="57">
        <f t="shared" si="2"/>
        <v>33.973177999999997</v>
      </c>
      <c r="I19" s="40">
        <f t="shared" ref="I19:I21" si="3">H19*F19</f>
        <v>33.973177999999997</v>
      </c>
    </row>
    <row r="20" spans="1:9" ht="25.5" x14ac:dyDescent="0.25">
      <c r="A20" s="37" t="s">
        <v>22</v>
      </c>
      <c r="B20" s="54">
        <v>104789</v>
      </c>
      <c r="C20" s="54" t="s">
        <v>25</v>
      </c>
      <c r="D20" s="56" t="s">
        <v>27</v>
      </c>
      <c r="E20" s="41" t="s">
        <v>13</v>
      </c>
      <c r="F20" s="42">
        <f>'memória de cálculo'!D8</f>
        <v>4.68</v>
      </c>
      <c r="G20" s="43">
        <v>268.51</v>
      </c>
      <c r="H20" s="57">
        <f t="shared" si="2"/>
        <v>328.84419699999995</v>
      </c>
      <c r="I20" s="40">
        <f t="shared" si="3"/>
        <v>1538.9908419599997</v>
      </c>
    </row>
    <row r="21" spans="1:9" ht="38.25" x14ac:dyDescent="0.25">
      <c r="A21" s="37" t="s">
        <v>23</v>
      </c>
      <c r="B21" s="54" t="s">
        <v>47</v>
      </c>
      <c r="C21" s="54" t="s">
        <v>10</v>
      </c>
      <c r="D21" s="56" t="s">
        <v>46</v>
      </c>
      <c r="E21" s="41" t="s">
        <v>13</v>
      </c>
      <c r="F21" s="42">
        <f>'memória de cálculo'!D9</f>
        <v>6.7287999999999997</v>
      </c>
      <c r="G21" s="43">
        <v>123.13</v>
      </c>
      <c r="H21" s="57">
        <f t="shared" si="2"/>
        <v>150.79731099999998</v>
      </c>
      <c r="I21" s="40">
        <f t="shared" si="3"/>
        <v>1014.6849462567998</v>
      </c>
    </row>
    <row r="22" spans="1:9" x14ac:dyDescent="0.25">
      <c r="A22" s="87" t="s">
        <v>20</v>
      </c>
      <c r="B22" s="88"/>
      <c r="C22" s="49"/>
      <c r="D22" s="89" t="s">
        <v>45</v>
      </c>
      <c r="E22" s="90"/>
      <c r="F22" s="91"/>
      <c r="G22" s="92"/>
      <c r="H22" s="92"/>
      <c r="I22" s="52"/>
    </row>
    <row r="23" spans="1:9" ht="38.25" x14ac:dyDescent="0.25">
      <c r="A23" s="45" t="s">
        <v>52</v>
      </c>
      <c r="B23" s="54" t="s">
        <v>50</v>
      </c>
      <c r="C23" s="45" t="s">
        <v>10</v>
      </c>
      <c r="D23" s="56" t="s">
        <v>49</v>
      </c>
      <c r="E23" s="45" t="s">
        <v>13</v>
      </c>
      <c r="F23" s="46">
        <f>'memória de cálculo'!D11</f>
        <v>42.5</v>
      </c>
      <c r="G23" s="47">
        <v>20.420000000000002</v>
      </c>
      <c r="H23" s="57">
        <f>G23*(1+$H$11)</f>
        <v>25.008374</v>
      </c>
      <c r="I23" s="48">
        <f>H23*F23</f>
        <v>1062.8558949999999</v>
      </c>
    </row>
    <row r="24" spans="1:9" x14ac:dyDescent="0.25">
      <c r="A24" s="87" t="s">
        <v>21</v>
      </c>
      <c r="B24" s="88"/>
      <c r="C24" s="49"/>
      <c r="D24" s="89" t="s">
        <v>53</v>
      </c>
      <c r="E24" s="90"/>
      <c r="F24" s="91"/>
      <c r="G24" s="92"/>
      <c r="H24" s="92"/>
      <c r="I24" s="52"/>
    </row>
    <row r="25" spans="1:9" ht="38.25" x14ac:dyDescent="0.25">
      <c r="A25" s="45" t="s">
        <v>56</v>
      </c>
      <c r="B25" s="54">
        <v>94994</v>
      </c>
      <c r="C25" s="54" t="s">
        <v>25</v>
      </c>
      <c r="D25" s="56" t="s">
        <v>54</v>
      </c>
      <c r="E25" s="41" t="s">
        <v>12</v>
      </c>
      <c r="F25" s="42">
        <f>'memória de cálculo'!D13</f>
        <v>82.15</v>
      </c>
      <c r="G25" s="43">
        <v>91.13</v>
      </c>
      <c r="H25" s="57">
        <f>G25*(1+$H$11)</f>
        <v>111.60691099999998</v>
      </c>
      <c r="I25" s="48">
        <f>H25*F25</f>
        <v>9168.5077386499997</v>
      </c>
    </row>
    <row r="26" spans="1:9" ht="38.25" x14ac:dyDescent="0.25">
      <c r="A26" s="45" t="s">
        <v>57</v>
      </c>
      <c r="B26" s="54">
        <v>96527</v>
      </c>
      <c r="C26" s="55" t="s">
        <v>25</v>
      </c>
      <c r="D26" s="56" t="s">
        <v>58</v>
      </c>
      <c r="E26" s="37" t="s">
        <v>13</v>
      </c>
      <c r="F26" s="42">
        <f>'memória de cálculo'!D14</f>
        <v>0.51300000000000001</v>
      </c>
      <c r="G26" s="43">
        <v>136.86000000000001</v>
      </c>
      <c r="H26" s="57">
        <f t="shared" ref="H26:H32" si="4">G26*(1+$H$11)</f>
        <v>167.61244200000002</v>
      </c>
      <c r="I26" s="48">
        <f t="shared" ref="I26:I33" si="5">H26*F26</f>
        <v>85.985182746000007</v>
      </c>
    </row>
    <row r="27" spans="1:9" ht="25.5" x14ac:dyDescent="0.25">
      <c r="A27" s="45" t="s">
        <v>110</v>
      </c>
      <c r="B27" s="54">
        <v>96545</v>
      </c>
      <c r="C27" s="55" t="s">
        <v>25</v>
      </c>
      <c r="D27" s="56" t="s">
        <v>59</v>
      </c>
      <c r="E27" s="37" t="s">
        <v>60</v>
      </c>
      <c r="F27" s="42">
        <f>'memória de cálculo'!D15</f>
        <v>41.04</v>
      </c>
      <c r="G27" s="43">
        <v>17.13</v>
      </c>
      <c r="H27" s="57">
        <f t="shared" si="4"/>
        <v>20.979110999999996</v>
      </c>
      <c r="I27" s="48">
        <f t="shared" si="5"/>
        <v>860.98271543999977</v>
      </c>
    </row>
    <row r="28" spans="1:9" ht="38.25" x14ac:dyDescent="0.25">
      <c r="A28" s="45" t="s">
        <v>111</v>
      </c>
      <c r="B28" s="54">
        <v>94965</v>
      </c>
      <c r="C28" s="55" t="s">
        <v>25</v>
      </c>
      <c r="D28" s="56" t="s">
        <v>61</v>
      </c>
      <c r="E28" s="37" t="s">
        <v>13</v>
      </c>
      <c r="F28" s="42">
        <f>'memória de cálculo'!D16</f>
        <v>0.51300000000000001</v>
      </c>
      <c r="G28" s="43">
        <v>430.73</v>
      </c>
      <c r="H28" s="57">
        <f t="shared" si="4"/>
        <v>527.51503100000002</v>
      </c>
      <c r="I28" s="48">
        <f t="shared" si="5"/>
        <v>270.61521090299999</v>
      </c>
    </row>
    <row r="29" spans="1:9" ht="38.25" x14ac:dyDescent="0.25">
      <c r="A29" s="45" t="s">
        <v>112</v>
      </c>
      <c r="B29" s="54">
        <v>96530</v>
      </c>
      <c r="C29" s="55" t="s">
        <v>25</v>
      </c>
      <c r="D29" s="56" t="s">
        <v>62</v>
      </c>
      <c r="E29" s="37" t="s">
        <v>12</v>
      </c>
      <c r="F29" s="42">
        <f>'memória de cálculo'!D17</f>
        <v>5.13</v>
      </c>
      <c r="G29" s="43">
        <v>145.63</v>
      </c>
      <c r="H29" s="57">
        <f t="shared" si="4"/>
        <v>178.35306099999997</v>
      </c>
      <c r="I29" s="48">
        <f t="shared" si="5"/>
        <v>914.95120292999979</v>
      </c>
    </row>
    <row r="30" spans="1:9" ht="38.25" x14ac:dyDescent="0.25">
      <c r="A30" s="45" t="s">
        <v>114</v>
      </c>
      <c r="B30" s="54">
        <v>101174</v>
      </c>
      <c r="C30" s="55" t="s">
        <v>25</v>
      </c>
      <c r="D30" s="56" t="s">
        <v>63</v>
      </c>
      <c r="E30" s="37" t="s">
        <v>64</v>
      </c>
      <c r="F30" s="42">
        <f>'memória de cálculo'!D18</f>
        <v>7</v>
      </c>
      <c r="G30" s="43">
        <v>92.85</v>
      </c>
      <c r="H30" s="57">
        <f t="shared" si="4"/>
        <v>113.71339499999998</v>
      </c>
      <c r="I30" s="48">
        <f t="shared" si="5"/>
        <v>795.99376499999983</v>
      </c>
    </row>
    <row r="31" spans="1:9" x14ac:dyDescent="0.25">
      <c r="A31" s="45" t="s">
        <v>115</v>
      </c>
      <c r="B31" s="54" t="s">
        <v>70</v>
      </c>
      <c r="C31" s="54" t="s">
        <v>10</v>
      </c>
      <c r="D31" s="56" t="s">
        <v>69</v>
      </c>
      <c r="E31" s="41" t="s">
        <v>13</v>
      </c>
      <c r="F31" s="42">
        <f>'memória de cálculo'!D19</f>
        <v>0.48225000000000007</v>
      </c>
      <c r="G31" s="43">
        <v>1881.18</v>
      </c>
      <c r="H31" s="57">
        <f t="shared" si="4"/>
        <v>2303.8811459999997</v>
      </c>
      <c r="I31" s="48">
        <f t="shared" si="5"/>
        <v>1111.0466826585</v>
      </c>
    </row>
    <row r="32" spans="1:9" ht="38.25" x14ac:dyDescent="0.25">
      <c r="A32" s="45" t="s">
        <v>116</v>
      </c>
      <c r="B32" s="41">
        <v>103325</v>
      </c>
      <c r="C32" s="41" t="s">
        <v>25</v>
      </c>
      <c r="D32" s="36" t="s">
        <v>72</v>
      </c>
      <c r="E32" s="41" t="s">
        <v>12</v>
      </c>
      <c r="F32" s="42">
        <f>'memória de cálculo'!D20</f>
        <v>14.850000000000001</v>
      </c>
      <c r="G32" s="43">
        <v>86.09</v>
      </c>
      <c r="H32" s="57">
        <f t="shared" si="4"/>
        <v>105.434423</v>
      </c>
      <c r="I32" s="48">
        <f t="shared" si="5"/>
        <v>1565.70118155</v>
      </c>
    </row>
    <row r="33" spans="1:9" ht="38.25" x14ac:dyDescent="0.25">
      <c r="A33" s="45" t="s">
        <v>117</v>
      </c>
      <c r="B33" s="41">
        <v>87893</v>
      </c>
      <c r="C33" s="41" t="s">
        <v>25</v>
      </c>
      <c r="D33" s="36" t="s">
        <v>74</v>
      </c>
      <c r="E33" s="41" t="s">
        <v>12</v>
      </c>
      <c r="F33" s="42">
        <f>'memória de cálculo'!D21</f>
        <v>29.700000000000003</v>
      </c>
      <c r="G33" s="43">
        <v>8.4499999999999993</v>
      </c>
      <c r="H33" s="57">
        <f>G33*(1+$H$11)</f>
        <v>10.348714999999999</v>
      </c>
      <c r="I33" s="48">
        <f t="shared" si="5"/>
        <v>307.35683549999999</v>
      </c>
    </row>
    <row r="34" spans="1:9" ht="63.75" x14ac:dyDescent="0.25">
      <c r="A34" s="45" t="s">
        <v>118</v>
      </c>
      <c r="B34" s="41">
        <v>87527</v>
      </c>
      <c r="C34" s="41" t="s">
        <v>25</v>
      </c>
      <c r="D34" s="36" t="s">
        <v>75</v>
      </c>
      <c r="E34" s="41" t="s">
        <v>12</v>
      </c>
      <c r="F34" s="42">
        <f>'memória de cálculo'!D22</f>
        <v>29.700000000000003</v>
      </c>
      <c r="G34" s="43">
        <v>41.95</v>
      </c>
      <c r="H34" s="57">
        <f t="shared" ref="H34:H35" si="6">G34*(1+$H$11)</f>
        <v>51.376165</v>
      </c>
      <c r="I34" s="48">
        <f>H34*F34</f>
        <v>1525.8721005000002</v>
      </c>
    </row>
    <row r="35" spans="1:9" ht="25.5" x14ac:dyDescent="0.25">
      <c r="A35" s="70" t="s">
        <v>119</v>
      </c>
      <c r="B35" s="54" t="s">
        <v>77</v>
      </c>
      <c r="C35" s="54" t="s">
        <v>10</v>
      </c>
      <c r="D35" s="56" t="s">
        <v>76</v>
      </c>
      <c r="E35" s="41" t="s">
        <v>12</v>
      </c>
      <c r="F35" s="42">
        <f>'memória de cálculo'!D23</f>
        <v>29.700000000000003</v>
      </c>
      <c r="G35" s="43">
        <v>110.79</v>
      </c>
      <c r="H35" s="57">
        <f t="shared" si="6"/>
        <v>135.68451300000001</v>
      </c>
      <c r="I35" s="44">
        <f t="shared" ref="I35" si="7">H35*F35</f>
        <v>4029.8300361000006</v>
      </c>
    </row>
    <row r="36" spans="1:9" x14ac:dyDescent="0.25">
      <c r="A36" s="87" t="s">
        <v>22</v>
      </c>
      <c r="B36" s="88"/>
      <c r="C36" s="49"/>
      <c r="D36" s="89" t="s">
        <v>79</v>
      </c>
      <c r="E36" s="90"/>
      <c r="F36" s="91"/>
      <c r="G36" s="92"/>
      <c r="H36" s="92"/>
      <c r="I36" s="52"/>
    </row>
    <row r="37" spans="1:9" ht="25.5" x14ac:dyDescent="0.25">
      <c r="A37" s="70" t="s">
        <v>120</v>
      </c>
      <c r="B37" s="54" t="s">
        <v>83</v>
      </c>
      <c r="C37" s="54" t="s">
        <v>10</v>
      </c>
      <c r="D37" s="56" t="s">
        <v>82</v>
      </c>
      <c r="E37" s="41" t="s">
        <v>12</v>
      </c>
      <c r="F37" s="42">
        <f>'memória de cálculo'!D25</f>
        <v>8.15</v>
      </c>
      <c r="G37" s="43">
        <v>2.14</v>
      </c>
      <c r="H37" s="57">
        <f t="shared" ref="H37:H39" si="8">G37*(1+$H$11)</f>
        <v>2.6208580000000001</v>
      </c>
      <c r="I37" s="44">
        <f t="shared" ref="I37:I39" si="9">H37*F37</f>
        <v>21.359992700000003</v>
      </c>
    </row>
    <row r="38" spans="1:9" x14ac:dyDescent="0.25">
      <c r="A38" s="70" t="s">
        <v>121</v>
      </c>
      <c r="B38" s="54" t="s">
        <v>81</v>
      </c>
      <c r="C38" s="54" t="s">
        <v>10</v>
      </c>
      <c r="D38" s="56" t="s">
        <v>80</v>
      </c>
      <c r="E38" s="41" t="s">
        <v>13</v>
      </c>
      <c r="F38" s="42">
        <f>'memória de cálculo'!D26</f>
        <v>1.6300000000000001</v>
      </c>
      <c r="G38" s="43">
        <v>227.25</v>
      </c>
      <c r="H38" s="57">
        <f t="shared" si="8"/>
        <v>278.31307499999997</v>
      </c>
      <c r="I38" s="44">
        <f t="shared" si="9"/>
        <v>453.65031224999996</v>
      </c>
    </row>
    <row r="39" spans="1:9" ht="25.5" x14ac:dyDescent="0.25">
      <c r="A39" s="70" t="s">
        <v>122</v>
      </c>
      <c r="B39" s="54">
        <v>103946</v>
      </c>
      <c r="C39" s="54" t="s">
        <v>25</v>
      </c>
      <c r="D39" s="56" t="s">
        <v>84</v>
      </c>
      <c r="E39" s="41" t="s">
        <v>12</v>
      </c>
      <c r="F39" s="42">
        <f>'memória de cálculo'!D27</f>
        <v>8.15</v>
      </c>
      <c r="G39" s="43">
        <v>21.8</v>
      </c>
      <c r="H39" s="57">
        <f t="shared" si="8"/>
        <v>26.698459999999997</v>
      </c>
      <c r="I39" s="44">
        <f t="shared" si="9"/>
        <v>217.59244899999999</v>
      </c>
    </row>
    <row r="40" spans="1:9" x14ac:dyDescent="0.25">
      <c r="A40" s="87" t="s">
        <v>23</v>
      </c>
      <c r="B40" s="88"/>
      <c r="C40" s="49"/>
      <c r="D40" s="89" t="s">
        <v>87</v>
      </c>
      <c r="E40" s="90"/>
      <c r="F40" s="91"/>
      <c r="G40" s="92"/>
      <c r="H40" s="92"/>
      <c r="I40" s="52"/>
    </row>
    <row r="41" spans="1:9" ht="38.25" x14ac:dyDescent="0.25">
      <c r="A41" s="45" t="s">
        <v>123</v>
      </c>
      <c r="B41" s="54">
        <v>96527</v>
      </c>
      <c r="C41" s="55" t="s">
        <v>25</v>
      </c>
      <c r="D41" s="56" t="s">
        <v>58</v>
      </c>
      <c r="E41" s="37" t="s">
        <v>13</v>
      </c>
      <c r="F41" s="42">
        <f>'memória de cálculo'!D29</f>
        <v>0.54</v>
      </c>
      <c r="G41" s="43">
        <v>136.86000000000001</v>
      </c>
      <c r="H41" s="57">
        <f t="shared" ref="H41:H42" si="10">G41*(1+$H$11)</f>
        <v>167.61244200000002</v>
      </c>
      <c r="I41" s="48">
        <f t="shared" ref="I41:I42" si="11">H41*F41</f>
        <v>90.510718680000011</v>
      </c>
    </row>
    <row r="42" spans="1:9" ht="38.25" x14ac:dyDescent="0.25">
      <c r="A42" s="45" t="s">
        <v>124</v>
      </c>
      <c r="B42" s="54">
        <v>94965</v>
      </c>
      <c r="C42" s="55" t="s">
        <v>25</v>
      </c>
      <c r="D42" s="56" t="s">
        <v>61</v>
      </c>
      <c r="E42" s="37" t="s">
        <v>13</v>
      </c>
      <c r="F42" s="42">
        <f>'memória de cálculo'!D30</f>
        <v>0.54</v>
      </c>
      <c r="G42" s="43">
        <v>430.73</v>
      </c>
      <c r="H42" s="57">
        <f t="shared" si="10"/>
        <v>527.51503100000002</v>
      </c>
      <c r="I42" s="48">
        <f t="shared" si="11"/>
        <v>284.85811674000001</v>
      </c>
    </row>
    <row r="43" spans="1:9" ht="51" x14ac:dyDescent="0.25">
      <c r="A43" s="45" t="s">
        <v>125</v>
      </c>
      <c r="B43" s="54">
        <v>105074</v>
      </c>
      <c r="C43" s="54" t="s">
        <v>25</v>
      </c>
      <c r="D43" s="56" t="s">
        <v>88</v>
      </c>
      <c r="E43" s="54" t="s">
        <v>64</v>
      </c>
      <c r="F43" s="79">
        <f>'memória de cálculo'!D31</f>
        <v>22.799999999999997</v>
      </c>
      <c r="G43" s="60">
        <v>275.88</v>
      </c>
      <c r="H43" s="57">
        <f t="shared" ref="H43:H44" si="12">G43*(1+$H$11)</f>
        <v>337.87023599999998</v>
      </c>
      <c r="I43" s="60">
        <f t="shared" ref="I43:I44" si="13">H43*F43</f>
        <v>7703.4413807999981</v>
      </c>
    </row>
    <row r="44" spans="1:9" ht="38.25" x14ac:dyDescent="0.25">
      <c r="A44" s="45" t="s">
        <v>126</v>
      </c>
      <c r="B44" s="54">
        <v>92539</v>
      </c>
      <c r="C44" s="54" t="s">
        <v>25</v>
      </c>
      <c r="D44" s="59" t="s">
        <v>92</v>
      </c>
      <c r="E44" s="54" t="s">
        <v>12</v>
      </c>
      <c r="F44" s="79">
        <f>'memória de cálculo'!D32</f>
        <v>32.200000000000003</v>
      </c>
      <c r="G44" s="60">
        <v>89.54</v>
      </c>
      <c r="H44" s="57">
        <f t="shared" si="12"/>
        <v>109.659638</v>
      </c>
      <c r="I44" s="60">
        <f t="shared" si="13"/>
        <v>3531.0403436000001</v>
      </c>
    </row>
    <row r="45" spans="1:9" ht="38.25" x14ac:dyDescent="0.25">
      <c r="A45" s="45" t="s">
        <v>127</v>
      </c>
      <c r="B45" s="54">
        <v>92546</v>
      </c>
      <c r="C45" s="54" t="s">
        <v>25</v>
      </c>
      <c r="D45" s="56" t="s">
        <v>93</v>
      </c>
      <c r="E45" s="54" t="s">
        <v>11</v>
      </c>
      <c r="F45" s="79">
        <f>'memória de cálculo'!D33</f>
        <v>3</v>
      </c>
      <c r="G45" s="60">
        <v>1457.31</v>
      </c>
      <c r="H45" s="57">
        <f>G45*(1+$H$11)</f>
        <v>1784.7675569999999</v>
      </c>
      <c r="I45" s="60">
        <f>H45*F45</f>
        <v>5354.3026709999995</v>
      </c>
    </row>
    <row r="46" spans="1:9" ht="25.5" x14ac:dyDescent="0.25">
      <c r="A46" s="45" t="s">
        <v>128</v>
      </c>
      <c r="B46" s="54">
        <v>94195</v>
      </c>
      <c r="C46" s="54" t="s">
        <v>25</v>
      </c>
      <c r="D46" s="56" t="s">
        <v>95</v>
      </c>
      <c r="E46" s="54" t="s">
        <v>12</v>
      </c>
      <c r="F46" s="79">
        <f>'memória de cálculo'!D34</f>
        <v>32.200000000000003</v>
      </c>
      <c r="G46" s="60">
        <v>64.77</v>
      </c>
      <c r="H46" s="57">
        <f t="shared" ref="H46" si="14">G46*(1+$H$11)</f>
        <v>79.323818999999986</v>
      </c>
      <c r="I46" s="60">
        <f t="shared" ref="I46" si="15">H46*F46</f>
        <v>2554.2269717999998</v>
      </c>
    </row>
    <row r="47" spans="1:9" ht="25.5" x14ac:dyDescent="0.25">
      <c r="A47" s="45" t="s">
        <v>129</v>
      </c>
      <c r="B47" s="54">
        <v>100327</v>
      </c>
      <c r="C47" s="55" t="s">
        <v>25</v>
      </c>
      <c r="D47" s="59" t="s">
        <v>97</v>
      </c>
      <c r="E47" s="37" t="s">
        <v>64</v>
      </c>
      <c r="F47" s="38">
        <f>'memória de cálculo'!D35</f>
        <v>7.4</v>
      </c>
      <c r="G47" s="39">
        <v>61.55</v>
      </c>
      <c r="H47" s="57">
        <f t="shared" ref="H47" si="16">G47*(1+$H$11)</f>
        <v>75.380284999999986</v>
      </c>
      <c r="I47" s="40">
        <f>H47*F47</f>
        <v>557.81410899999992</v>
      </c>
    </row>
    <row r="48" spans="1:9" ht="38.25" x14ac:dyDescent="0.25">
      <c r="A48" s="45" t="s">
        <v>130</v>
      </c>
      <c r="B48" s="41">
        <v>94227</v>
      </c>
      <c r="C48" s="41" t="s">
        <v>25</v>
      </c>
      <c r="D48" s="36" t="s">
        <v>272</v>
      </c>
      <c r="E48" s="41" t="s">
        <v>64</v>
      </c>
      <c r="F48" s="42">
        <f>'memória de cálculo'!D36</f>
        <v>17.600000000000001</v>
      </c>
      <c r="G48" s="43">
        <v>66.52</v>
      </c>
      <c r="H48" s="57">
        <f>G48*(1+$H$11)</f>
        <v>81.467043999999987</v>
      </c>
      <c r="I48" s="40">
        <f t="shared" ref="I48:I53" si="17">H48*F48</f>
        <v>1433.8199743999999</v>
      </c>
    </row>
    <row r="49" spans="1:9" ht="25.5" x14ac:dyDescent="0.25">
      <c r="A49" s="45" t="s">
        <v>131</v>
      </c>
      <c r="B49" s="41">
        <v>89512</v>
      </c>
      <c r="C49" s="41" t="s">
        <v>25</v>
      </c>
      <c r="D49" s="36" t="s">
        <v>101</v>
      </c>
      <c r="E49" s="41" t="s">
        <v>64</v>
      </c>
      <c r="F49" s="42">
        <f>'memória de cálculo'!D37</f>
        <v>6</v>
      </c>
      <c r="G49" s="43">
        <v>59.55</v>
      </c>
      <c r="H49" s="57">
        <f t="shared" ref="H49:H53" si="18">G49*(1+$H$11)</f>
        <v>72.930884999999989</v>
      </c>
      <c r="I49" s="40">
        <f t="shared" si="17"/>
        <v>437.58530999999994</v>
      </c>
    </row>
    <row r="50" spans="1:9" x14ac:dyDescent="0.25">
      <c r="A50" s="45" t="s">
        <v>344</v>
      </c>
      <c r="B50" s="41" t="s">
        <v>346</v>
      </c>
      <c r="C50" s="41" t="s">
        <v>10</v>
      </c>
      <c r="D50" s="36" t="s">
        <v>345</v>
      </c>
      <c r="E50" s="41" t="s">
        <v>64</v>
      </c>
      <c r="F50" s="42">
        <v>23.8</v>
      </c>
      <c r="G50" s="43">
        <v>42.14</v>
      </c>
      <c r="H50" s="57">
        <f t="shared" ref="H50" si="19">G50*(1+$H$11)</f>
        <v>51.608857999999998</v>
      </c>
      <c r="I50" s="40">
        <f t="shared" ref="I50" si="20">H50*F50</f>
        <v>1228.2908204</v>
      </c>
    </row>
    <row r="51" spans="1:9" x14ac:dyDescent="0.25">
      <c r="A51" s="87" t="s">
        <v>132</v>
      </c>
      <c r="B51" s="88"/>
      <c r="C51" s="49"/>
      <c r="D51" s="89" t="s">
        <v>103</v>
      </c>
      <c r="E51" s="90"/>
      <c r="F51" s="91"/>
      <c r="G51" s="92"/>
      <c r="H51" s="92"/>
      <c r="I51" s="52"/>
    </row>
    <row r="52" spans="1:9" ht="38.25" x14ac:dyDescent="0.25">
      <c r="A52" s="45" t="s">
        <v>133</v>
      </c>
      <c r="B52" s="41" t="s">
        <v>105</v>
      </c>
      <c r="C52" s="41" t="s">
        <v>10</v>
      </c>
      <c r="D52" s="36" t="s">
        <v>104</v>
      </c>
      <c r="E52" s="41" t="s">
        <v>11</v>
      </c>
      <c r="F52" s="42">
        <f>'memória de cálculo'!D40</f>
        <v>4</v>
      </c>
      <c r="G52" s="43">
        <v>639.38</v>
      </c>
      <c r="H52" s="57">
        <f t="shared" si="18"/>
        <v>783.04868599999998</v>
      </c>
      <c r="I52" s="40">
        <f t="shared" si="17"/>
        <v>3132.1947439999999</v>
      </c>
    </row>
    <row r="53" spans="1:9" ht="25.5" x14ac:dyDescent="0.25">
      <c r="A53" s="45" t="s">
        <v>134</v>
      </c>
      <c r="B53" s="41" t="s">
        <v>108</v>
      </c>
      <c r="C53" s="41" t="s">
        <v>10</v>
      </c>
      <c r="D53" s="36" t="s">
        <v>107</v>
      </c>
      <c r="E53" s="41" t="s">
        <v>12</v>
      </c>
      <c r="F53" s="42">
        <f>'memória de cálculo'!D41</f>
        <v>3.9600000000000004</v>
      </c>
      <c r="G53" s="43">
        <v>1012</v>
      </c>
      <c r="H53" s="57">
        <f t="shared" si="18"/>
        <v>1239.3963999999999</v>
      </c>
      <c r="I53" s="40">
        <f t="shared" si="17"/>
        <v>4908.009744</v>
      </c>
    </row>
    <row r="54" spans="1:9" ht="21" customHeight="1" x14ac:dyDescent="0.25">
      <c r="A54" s="71" t="s">
        <v>135</v>
      </c>
      <c r="B54" s="61"/>
      <c r="C54" s="61"/>
      <c r="D54" s="62" t="s">
        <v>136</v>
      </c>
      <c r="E54" s="49"/>
      <c r="F54" s="50"/>
      <c r="G54" s="51"/>
      <c r="H54" s="63"/>
      <c r="I54" s="52">
        <f>SUM(I55:I84)</f>
        <v>38261.921422207997</v>
      </c>
    </row>
    <row r="55" spans="1:9" ht="13.5" customHeight="1" x14ac:dyDescent="0.25">
      <c r="A55" s="71" t="s">
        <v>137</v>
      </c>
      <c r="B55" s="61"/>
      <c r="C55" s="61"/>
      <c r="D55" s="62" t="s">
        <v>43</v>
      </c>
      <c r="E55" s="49"/>
      <c r="F55" s="50"/>
      <c r="G55" s="51"/>
      <c r="H55" s="63"/>
      <c r="I55" s="52"/>
    </row>
    <row r="56" spans="1:9" ht="25.5" x14ac:dyDescent="0.25">
      <c r="A56" s="45" t="s">
        <v>186</v>
      </c>
      <c r="B56" s="54">
        <v>97622</v>
      </c>
      <c r="C56" s="55" t="s">
        <v>25</v>
      </c>
      <c r="D56" s="56" t="s">
        <v>26</v>
      </c>
      <c r="E56" s="37" t="s">
        <v>13</v>
      </c>
      <c r="F56" s="38">
        <f>'memória de cálculo'!D44</f>
        <v>0.9900000000000001</v>
      </c>
      <c r="G56" s="39">
        <v>76.290000000000006</v>
      </c>
      <c r="H56" s="57">
        <f t="shared" ref="H56:H57" si="21">G56*(1+$H$11)</f>
        <v>93.432362999999995</v>
      </c>
      <c r="I56" s="40">
        <f>H56*F56</f>
        <v>92.498039370000001</v>
      </c>
    </row>
    <row r="57" spans="1:9" x14ac:dyDescent="0.25">
      <c r="A57" s="70" t="s">
        <v>187</v>
      </c>
      <c r="B57" s="54" t="s">
        <v>40</v>
      </c>
      <c r="C57" s="54" t="s">
        <v>10</v>
      </c>
      <c r="D57" s="56" t="s">
        <v>39</v>
      </c>
      <c r="E57" s="41" t="s">
        <v>11</v>
      </c>
      <c r="F57" s="42">
        <f>'memória de cálculo'!D45</f>
        <v>3</v>
      </c>
      <c r="G57" s="43">
        <v>27.74</v>
      </c>
      <c r="H57" s="57">
        <f t="shared" si="21"/>
        <v>33.973177999999997</v>
      </c>
      <c r="I57" s="40">
        <f t="shared" ref="I57" si="22">H57*F57</f>
        <v>101.919534</v>
      </c>
    </row>
    <row r="58" spans="1:9" ht="25.5" x14ac:dyDescent="0.25">
      <c r="A58" s="45" t="s">
        <v>188</v>
      </c>
      <c r="B58" s="54" t="s">
        <v>139</v>
      </c>
      <c r="C58" s="54" t="s">
        <v>10</v>
      </c>
      <c r="D58" s="56" t="s">
        <v>138</v>
      </c>
      <c r="E58" s="41" t="s">
        <v>64</v>
      </c>
      <c r="F58" s="42">
        <f>'memória de cálculo'!D46</f>
        <v>2</v>
      </c>
      <c r="G58" s="43">
        <v>11.4</v>
      </c>
      <c r="H58" s="57">
        <f t="shared" ref="H58:H60" si="23">G58*(1+$H$11)</f>
        <v>13.96158</v>
      </c>
      <c r="I58" s="40">
        <f t="shared" ref="I58:I60" si="24">H58*F58</f>
        <v>27.923159999999999</v>
      </c>
    </row>
    <row r="59" spans="1:9" ht="25.5" x14ac:dyDescent="0.25">
      <c r="A59" s="45" t="s">
        <v>189</v>
      </c>
      <c r="B59" s="54" t="s">
        <v>141</v>
      </c>
      <c r="C59" s="54" t="s">
        <v>10</v>
      </c>
      <c r="D59" s="56" t="s">
        <v>140</v>
      </c>
      <c r="E59" s="41" t="s">
        <v>12</v>
      </c>
      <c r="F59" s="42">
        <f>'memória de cálculo'!D47</f>
        <v>8.19</v>
      </c>
      <c r="G59" s="43">
        <v>7.07</v>
      </c>
      <c r="H59" s="57">
        <f t="shared" si="23"/>
        <v>8.6586289999999995</v>
      </c>
      <c r="I59" s="40">
        <f t="shared" si="24"/>
        <v>70.914171509999989</v>
      </c>
    </row>
    <row r="60" spans="1:9" ht="25.5" x14ac:dyDescent="0.25">
      <c r="A60" s="45" t="s">
        <v>190</v>
      </c>
      <c r="B60" s="41">
        <v>97633</v>
      </c>
      <c r="C60" s="41" t="s">
        <v>25</v>
      </c>
      <c r="D60" s="36" t="s">
        <v>142</v>
      </c>
      <c r="E60" s="41" t="s">
        <v>12</v>
      </c>
      <c r="F60" s="42">
        <f>'memória de cálculo'!D48</f>
        <v>43.1</v>
      </c>
      <c r="G60" s="43">
        <v>30.39</v>
      </c>
      <c r="H60" s="57">
        <f t="shared" si="23"/>
        <v>37.218632999999997</v>
      </c>
      <c r="I60" s="40">
        <f t="shared" si="24"/>
        <v>1604.1230822999999</v>
      </c>
    </row>
    <row r="61" spans="1:9" ht="38.25" x14ac:dyDescent="0.25">
      <c r="A61" s="45" t="s">
        <v>191</v>
      </c>
      <c r="B61" s="41">
        <v>97635</v>
      </c>
      <c r="C61" s="41" t="s">
        <v>25</v>
      </c>
      <c r="D61" s="36" t="s">
        <v>143</v>
      </c>
      <c r="E61" s="41" t="s">
        <v>12</v>
      </c>
      <c r="F61" s="42">
        <f>'memória de cálculo'!D49</f>
        <v>11</v>
      </c>
      <c r="G61" s="43">
        <v>22.26</v>
      </c>
      <c r="H61" s="57">
        <f>G61*(1+$H$11)</f>
        <v>27.261821999999999</v>
      </c>
      <c r="I61" s="40">
        <f t="shared" ref="I61:I63" si="25">H61*F61</f>
        <v>299.880042</v>
      </c>
    </row>
    <row r="62" spans="1:9" ht="25.5" x14ac:dyDescent="0.25">
      <c r="A62" s="45" t="s">
        <v>192</v>
      </c>
      <c r="B62" s="54">
        <v>104789</v>
      </c>
      <c r="C62" s="54" t="s">
        <v>25</v>
      </c>
      <c r="D62" s="56" t="s">
        <v>27</v>
      </c>
      <c r="E62" s="41" t="s">
        <v>13</v>
      </c>
      <c r="F62" s="42">
        <f>'memória de cálculo'!D50</f>
        <v>2.1550000000000002</v>
      </c>
      <c r="G62" s="43">
        <v>268.51</v>
      </c>
      <c r="H62" s="57">
        <f t="shared" ref="H62" si="26">G62*(1+$H$11)</f>
        <v>328.84419699999995</v>
      </c>
      <c r="I62" s="40">
        <f t="shared" si="25"/>
        <v>708.65924453499997</v>
      </c>
    </row>
    <row r="63" spans="1:9" ht="38.25" x14ac:dyDescent="0.25">
      <c r="A63" s="45" t="s">
        <v>348</v>
      </c>
      <c r="B63" s="54" t="s">
        <v>47</v>
      </c>
      <c r="C63" s="54" t="s">
        <v>10</v>
      </c>
      <c r="D63" s="56" t="s">
        <v>46</v>
      </c>
      <c r="E63" s="41" t="s">
        <v>13</v>
      </c>
      <c r="F63" s="42">
        <f>'memória de cálculo'!D51</f>
        <v>6.3929999999999998</v>
      </c>
      <c r="G63" s="43">
        <v>123.13</v>
      </c>
      <c r="H63" s="57">
        <f t="shared" ref="H63" si="27">G63*(1+$H$11)</f>
        <v>150.79731099999998</v>
      </c>
      <c r="I63" s="40">
        <f t="shared" si="25"/>
        <v>964.04720922299987</v>
      </c>
    </row>
    <row r="64" spans="1:9" ht="15.75" customHeight="1" x14ac:dyDescent="0.25">
      <c r="A64" s="71" t="s">
        <v>150</v>
      </c>
      <c r="B64" s="61"/>
      <c r="C64" s="61"/>
      <c r="D64" s="62" t="s">
        <v>151</v>
      </c>
      <c r="E64" s="49"/>
      <c r="F64" s="50"/>
      <c r="G64" s="51"/>
      <c r="H64" s="63"/>
      <c r="I64" s="52"/>
    </row>
    <row r="65" spans="1:9" ht="47.25" customHeight="1" x14ac:dyDescent="0.25">
      <c r="A65" s="45" t="s">
        <v>193</v>
      </c>
      <c r="B65" s="41">
        <v>103325</v>
      </c>
      <c r="C65" s="41" t="s">
        <v>25</v>
      </c>
      <c r="D65" s="36" t="s">
        <v>72</v>
      </c>
      <c r="E65" s="41" t="s">
        <v>12</v>
      </c>
      <c r="F65" s="42">
        <f>'memória de cálculo'!D53</f>
        <v>3</v>
      </c>
      <c r="G65" s="43">
        <v>86.09</v>
      </c>
      <c r="H65" s="57">
        <f t="shared" ref="H65:H66" si="28">G65*(1+$H$11)</f>
        <v>105.434423</v>
      </c>
      <c r="I65" s="40">
        <f t="shared" ref="I65:I66" si="29">H65*F65</f>
        <v>316.303269</v>
      </c>
    </row>
    <row r="66" spans="1:9" ht="60.75" customHeight="1" x14ac:dyDescent="0.25">
      <c r="A66" s="45" t="s">
        <v>194</v>
      </c>
      <c r="B66" s="41">
        <v>87893</v>
      </c>
      <c r="C66" s="41" t="s">
        <v>25</v>
      </c>
      <c r="D66" s="36" t="s">
        <v>74</v>
      </c>
      <c r="E66" s="41" t="s">
        <v>12</v>
      </c>
      <c r="F66" s="42">
        <f>'memória de cálculo'!D54</f>
        <v>6</v>
      </c>
      <c r="G66" s="43">
        <v>8.4499999999999993</v>
      </c>
      <c r="H66" s="57">
        <f t="shared" si="28"/>
        <v>10.348714999999999</v>
      </c>
      <c r="I66" s="40">
        <f t="shared" si="29"/>
        <v>62.092289999999991</v>
      </c>
    </row>
    <row r="67" spans="1:9" ht="51" x14ac:dyDescent="0.25">
      <c r="A67" s="45" t="s">
        <v>195</v>
      </c>
      <c r="B67" s="41">
        <v>87792</v>
      </c>
      <c r="C67" s="41" t="s">
        <v>25</v>
      </c>
      <c r="D67" s="36" t="s">
        <v>152</v>
      </c>
      <c r="E67" s="41" t="s">
        <v>12</v>
      </c>
      <c r="F67" s="38">
        <f>'memória de cálculo'!D55</f>
        <v>6</v>
      </c>
      <c r="G67" s="39">
        <v>43.16</v>
      </c>
      <c r="H67" s="57">
        <f t="shared" ref="H67:H73" si="30">G67*(1+$H$11)</f>
        <v>52.858051999999994</v>
      </c>
      <c r="I67" s="40">
        <f t="shared" ref="I67:I73" si="31">H67*F67</f>
        <v>317.14831199999998</v>
      </c>
    </row>
    <row r="68" spans="1:9" x14ac:dyDescent="0.25">
      <c r="A68" s="71" t="s">
        <v>155</v>
      </c>
      <c r="B68" s="61"/>
      <c r="C68" s="61"/>
      <c r="D68" s="62" t="s">
        <v>156</v>
      </c>
      <c r="E68" s="49"/>
      <c r="F68" s="50"/>
      <c r="G68" s="51"/>
      <c r="H68" s="63"/>
      <c r="I68" s="52"/>
    </row>
    <row r="69" spans="1:9" x14ac:dyDescent="0.25">
      <c r="A69" s="45" t="s">
        <v>196</v>
      </c>
      <c r="B69" s="54" t="s">
        <v>158</v>
      </c>
      <c r="C69" s="55" t="s">
        <v>10</v>
      </c>
      <c r="D69" s="56" t="s">
        <v>157</v>
      </c>
      <c r="E69" s="37" t="s">
        <v>13</v>
      </c>
      <c r="F69" s="38">
        <f>'memória de cálculo'!D57</f>
        <v>3.6</v>
      </c>
      <c r="G69" s="39">
        <v>66.19</v>
      </c>
      <c r="H69" s="57">
        <f t="shared" si="30"/>
        <v>81.062892999999988</v>
      </c>
      <c r="I69" s="40">
        <f t="shared" si="31"/>
        <v>291.82641479999995</v>
      </c>
    </row>
    <row r="70" spans="1:9" ht="51" x14ac:dyDescent="0.25">
      <c r="A70" s="45" t="s">
        <v>113</v>
      </c>
      <c r="B70" s="54">
        <v>87620</v>
      </c>
      <c r="C70" s="55" t="s">
        <v>25</v>
      </c>
      <c r="D70" s="56" t="s">
        <v>159</v>
      </c>
      <c r="E70" s="37" t="s">
        <v>12</v>
      </c>
      <c r="F70" s="38">
        <f>'memória de cálculo'!D58</f>
        <v>43.1</v>
      </c>
      <c r="G70" s="39">
        <v>29.86</v>
      </c>
      <c r="H70" s="57">
        <f t="shared" ref="H70" si="32">G70*(1+$H$11)</f>
        <v>36.569541999999998</v>
      </c>
      <c r="I70" s="40">
        <f t="shared" ref="I70" si="33">H70*F70</f>
        <v>1576.1472601999999</v>
      </c>
    </row>
    <row r="71" spans="1:9" ht="25.5" x14ac:dyDescent="0.25">
      <c r="A71" s="45" t="s">
        <v>197</v>
      </c>
      <c r="B71" s="54">
        <v>95241</v>
      </c>
      <c r="C71" s="55" t="s">
        <v>25</v>
      </c>
      <c r="D71" s="56" t="s">
        <v>160</v>
      </c>
      <c r="E71" s="37" t="s">
        <v>12</v>
      </c>
      <c r="F71" s="38">
        <f>'memória de cálculo'!D59</f>
        <v>7.2</v>
      </c>
      <c r="G71" s="39">
        <v>34.82</v>
      </c>
      <c r="H71" s="57">
        <f t="shared" ref="H71" si="34">G71*(1+$H$11)</f>
        <v>42.644053999999997</v>
      </c>
      <c r="I71" s="40">
        <f t="shared" ref="I71" si="35">H71*F71</f>
        <v>307.03718879999997</v>
      </c>
    </row>
    <row r="72" spans="1:9" ht="38.25" x14ac:dyDescent="0.25">
      <c r="A72" s="45" t="s">
        <v>198</v>
      </c>
      <c r="B72" s="54">
        <v>87262</v>
      </c>
      <c r="C72" s="55" t="s">
        <v>25</v>
      </c>
      <c r="D72" s="56" t="s">
        <v>357</v>
      </c>
      <c r="E72" s="37" t="s">
        <v>12</v>
      </c>
      <c r="F72" s="38">
        <f>'memória de cálculo'!D60</f>
        <v>50.3</v>
      </c>
      <c r="G72" s="39">
        <v>120.77</v>
      </c>
      <c r="H72" s="57">
        <f t="shared" si="30"/>
        <v>147.90701899999999</v>
      </c>
      <c r="I72" s="40">
        <f t="shared" si="31"/>
        <v>7439.7230556999993</v>
      </c>
    </row>
    <row r="73" spans="1:9" ht="25.5" x14ac:dyDescent="0.25">
      <c r="A73" s="45" t="s">
        <v>199</v>
      </c>
      <c r="B73" s="54">
        <v>98689</v>
      </c>
      <c r="C73" s="55" t="s">
        <v>25</v>
      </c>
      <c r="D73" s="56" t="s">
        <v>166</v>
      </c>
      <c r="E73" s="37" t="s">
        <v>64</v>
      </c>
      <c r="F73" s="38">
        <f>'memória de cálculo'!D61</f>
        <v>5.7</v>
      </c>
      <c r="G73" s="39">
        <v>127.9</v>
      </c>
      <c r="H73" s="57">
        <f t="shared" si="30"/>
        <v>156.63912999999999</v>
      </c>
      <c r="I73" s="40">
        <f t="shared" si="31"/>
        <v>892.84304099999997</v>
      </c>
    </row>
    <row r="74" spans="1:9" x14ac:dyDescent="0.25">
      <c r="A74" s="71" t="s">
        <v>200</v>
      </c>
      <c r="B74" s="61"/>
      <c r="C74" s="61"/>
      <c r="D74" s="62" t="s">
        <v>168</v>
      </c>
      <c r="E74" s="49"/>
      <c r="F74" s="50"/>
      <c r="G74" s="51"/>
      <c r="H74" s="63"/>
      <c r="I74" s="52"/>
    </row>
    <row r="75" spans="1:9" ht="51" x14ac:dyDescent="0.25">
      <c r="A75" s="45" t="s">
        <v>201</v>
      </c>
      <c r="B75" s="54">
        <v>94559</v>
      </c>
      <c r="C75" s="55" t="s">
        <v>25</v>
      </c>
      <c r="D75" s="56" t="s">
        <v>169</v>
      </c>
      <c r="E75" s="37" t="s">
        <v>12</v>
      </c>
      <c r="F75" s="38">
        <f>'memória de cálculo'!D63</f>
        <v>3</v>
      </c>
      <c r="G75" s="39">
        <v>745.48</v>
      </c>
      <c r="H75" s="57">
        <f>G75*(1+$H$11)</f>
        <v>912.98935599999993</v>
      </c>
      <c r="I75" s="40">
        <f t="shared" ref="I75:I89" si="36">H75*F75</f>
        <v>2738.9680679999997</v>
      </c>
    </row>
    <row r="76" spans="1:9" x14ac:dyDescent="0.25">
      <c r="A76" s="45" t="s">
        <v>202</v>
      </c>
      <c r="B76" s="41" t="s">
        <v>171</v>
      </c>
      <c r="C76" s="41" t="s">
        <v>10</v>
      </c>
      <c r="D76" s="36" t="s">
        <v>170</v>
      </c>
      <c r="E76" s="41" t="s">
        <v>12</v>
      </c>
      <c r="F76" s="42">
        <f>'memória de cálculo'!D64</f>
        <v>6.09</v>
      </c>
      <c r="G76" s="43">
        <v>1616.38</v>
      </c>
      <c r="H76" s="57">
        <f>G76*(1+$H$11)</f>
        <v>1979.580586</v>
      </c>
      <c r="I76" s="40">
        <f t="shared" si="36"/>
        <v>12055.64576874</v>
      </c>
    </row>
    <row r="77" spans="1:9" x14ac:dyDescent="0.25">
      <c r="A77" s="45" t="s">
        <v>203</v>
      </c>
      <c r="B77" s="41" t="s">
        <v>173</v>
      </c>
      <c r="C77" s="41" t="s">
        <v>10</v>
      </c>
      <c r="D77" s="36" t="s">
        <v>172</v>
      </c>
      <c r="E77" s="41" t="s">
        <v>12</v>
      </c>
      <c r="F77" s="42">
        <f>'memória de cálculo'!D65</f>
        <v>3.7800000000000002</v>
      </c>
      <c r="G77" s="43">
        <v>1076.46</v>
      </c>
      <c r="H77" s="57">
        <f>G77*(1+$H$11)</f>
        <v>1318.3405619999999</v>
      </c>
      <c r="I77" s="40">
        <f t="shared" si="36"/>
        <v>4983.3273243599997</v>
      </c>
    </row>
    <row r="78" spans="1:9" x14ac:dyDescent="0.25">
      <c r="A78" s="45" t="s">
        <v>204</v>
      </c>
      <c r="B78" s="41" t="s">
        <v>180</v>
      </c>
      <c r="C78" s="41" t="s">
        <v>10</v>
      </c>
      <c r="D78" s="36" t="s">
        <v>179</v>
      </c>
      <c r="E78" s="41" t="s">
        <v>12</v>
      </c>
      <c r="F78" s="42">
        <f>'memória de cálculo'!D66</f>
        <v>12.870000000000001</v>
      </c>
      <c r="G78" s="43">
        <v>164.73</v>
      </c>
      <c r="H78" s="57">
        <f>G78*(1+$H$11)</f>
        <v>201.74483099999998</v>
      </c>
      <c r="I78" s="40">
        <f t="shared" ref="I78" si="37">H78*F78</f>
        <v>2596.4559749699997</v>
      </c>
    </row>
    <row r="79" spans="1:9" x14ac:dyDescent="0.25">
      <c r="A79" s="71" t="s">
        <v>205</v>
      </c>
      <c r="B79" s="61"/>
      <c r="C79" s="61"/>
      <c r="D79" s="62" t="s">
        <v>177</v>
      </c>
      <c r="E79" s="49"/>
      <c r="F79" s="50"/>
      <c r="G79" s="51"/>
      <c r="H79" s="63"/>
      <c r="I79" s="52"/>
    </row>
    <row r="80" spans="1:9" ht="25.5" x14ac:dyDescent="0.25">
      <c r="A80" s="45" t="s">
        <v>206</v>
      </c>
      <c r="B80" s="41">
        <v>93358</v>
      </c>
      <c r="C80" s="41" t="s">
        <v>25</v>
      </c>
      <c r="D80" s="36" t="s">
        <v>178</v>
      </c>
      <c r="E80" s="41" t="s">
        <v>13</v>
      </c>
      <c r="F80" s="42">
        <f>'memória de cálculo'!D68</f>
        <v>1.9750000000000001</v>
      </c>
      <c r="G80" s="43">
        <v>115.98</v>
      </c>
      <c r="H80" s="57">
        <f>G80*(1+$H$11)</f>
        <v>142.040706</v>
      </c>
      <c r="I80" s="40">
        <f t="shared" ref="I80:I84" si="38">H80*F80</f>
        <v>280.53039434999999</v>
      </c>
    </row>
    <row r="81" spans="1:9" ht="38.25" x14ac:dyDescent="0.25">
      <c r="A81" s="45" t="s">
        <v>207</v>
      </c>
      <c r="B81" s="41">
        <v>87893</v>
      </c>
      <c r="C81" s="41" t="s">
        <v>25</v>
      </c>
      <c r="D81" s="36" t="s">
        <v>74</v>
      </c>
      <c r="E81" s="41" t="s">
        <v>12</v>
      </c>
      <c r="F81" s="42">
        <f>'memória de cálculo'!D69</f>
        <v>3.3</v>
      </c>
      <c r="G81" s="43">
        <v>8.4499999999999993</v>
      </c>
      <c r="H81" s="57">
        <f t="shared" ref="H81:H84" si="39">G81*(1+$H$11)</f>
        <v>10.348714999999999</v>
      </c>
      <c r="I81" s="40">
        <f t="shared" si="38"/>
        <v>34.150759499999992</v>
      </c>
    </row>
    <row r="82" spans="1:9" ht="51" x14ac:dyDescent="0.25">
      <c r="A82" s="45" t="s">
        <v>208</v>
      </c>
      <c r="B82" s="41">
        <v>87792</v>
      </c>
      <c r="C82" s="41" t="s">
        <v>25</v>
      </c>
      <c r="D82" s="36" t="s">
        <v>152</v>
      </c>
      <c r="E82" s="41" t="s">
        <v>12</v>
      </c>
      <c r="F82" s="38">
        <f>'memória de cálculo'!D70</f>
        <v>3.3</v>
      </c>
      <c r="G82" s="39">
        <v>43.16</v>
      </c>
      <c r="H82" s="57">
        <f t="shared" si="39"/>
        <v>52.858051999999994</v>
      </c>
      <c r="I82" s="40">
        <f t="shared" si="38"/>
        <v>174.43157159999996</v>
      </c>
    </row>
    <row r="83" spans="1:9" x14ac:dyDescent="0.25">
      <c r="A83" s="45" t="s">
        <v>209</v>
      </c>
      <c r="B83" s="54" t="s">
        <v>81</v>
      </c>
      <c r="C83" s="54" t="s">
        <v>10</v>
      </c>
      <c r="D83" s="56" t="s">
        <v>80</v>
      </c>
      <c r="E83" s="41" t="s">
        <v>13</v>
      </c>
      <c r="F83" s="42">
        <f>'memória de cálculo'!D71</f>
        <v>0.79</v>
      </c>
      <c r="G83" s="43">
        <v>227.25</v>
      </c>
      <c r="H83" s="57">
        <f t="shared" si="39"/>
        <v>278.31307499999997</v>
      </c>
      <c r="I83" s="44">
        <f t="shared" si="38"/>
        <v>219.86732924999998</v>
      </c>
    </row>
    <row r="84" spans="1:9" ht="25.5" x14ac:dyDescent="0.25">
      <c r="A84" s="45" t="s">
        <v>210</v>
      </c>
      <c r="B84" s="54">
        <v>103946</v>
      </c>
      <c r="C84" s="54" t="s">
        <v>25</v>
      </c>
      <c r="D84" s="56" t="s">
        <v>84</v>
      </c>
      <c r="E84" s="41" t="s">
        <v>12</v>
      </c>
      <c r="F84" s="42">
        <f>'memória de cálculo'!D72</f>
        <v>3.95</v>
      </c>
      <c r="G84" s="43">
        <v>21.8</v>
      </c>
      <c r="H84" s="57">
        <f t="shared" si="39"/>
        <v>26.698459999999997</v>
      </c>
      <c r="I84" s="44">
        <f t="shared" si="38"/>
        <v>105.458917</v>
      </c>
    </row>
    <row r="85" spans="1:9" ht="26.25" customHeight="1" x14ac:dyDescent="0.25">
      <c r="A85" s="71" t="s">
        <v>211</v>
      </c>
      <c r="B85" s="61"/>
      <c r="C85" s="61"/>
      <c r="D85" s="62" t="s">
        <v>212</v>
      </c>
      <c r="E85" s="49"/>
      <c r="F85" s="50"/>
      <c r="G85" s="51"/>
      <c r="H85" s="63"/>
      <c r="I85" s="52">
        <f>SUM(I86:I109)</f>
        <v>25461.913231959999</v>
      </c>
    </row>
    <row r="86" spans="1:9" ht="18" customHeight="1" x14ac:dyDescent="0.25">
      <c r="A86" s="71" t="s">
        <v>213</v>
      </c>
      <c r="B86" s="61"/>
      <c r="C86" s="61"/>
      <c r="D86" s="62" t="s">
        <v>43</v>
      </c>
      <c r="E86" s="49"/>
      <c r="F86" s="50"/>
      <c r="G86" s="51"/>
      <c r="H86" s="63"/>
      <c r="I86" s="52"/>
    </row>
    <row r="87" spans="1:9" x14ac:dyDescent="0.25">
      <c r="A87" s="45" t="s">
        <v>244</v>
      </c>
      <c r="B87" s="41" t="s">
        <v>215</v>
      </c>
      <c r="C87" s="41" t="s">
        <v>10</v>
      </c>
      <c r="D87" s="36" t="s">
        <v>214</v>
      </c>
      <c r="E87" s="41" t="s">
        <v>11</v>
      </c>
      <c r="F87" s="42">
        <f>'memória de cálculo'!D75</f>
        <v>8</v>
      </c>
      <c r="G87" s="43">
        <v>46.86</v>
      </c>
      <c r="H87" s="57">
        <f t="shared" ref="H87:H89" si="40">G87*(1+$H$11)</f>
        <v>57.389441999999995</v>
      </c>
      <c r="I87" s="40">
        <f t="shared" si="36"/>
        <v>459.11553599999996</v>
      </c>
    </row>
    <row r="88" spans="1:9" x14ac:dyDescent="0.25">
      <c r="A88" s="45" t="s">
        <v>245</v>
      </c>
      <c r="B88" s="41" t="s">
        <v>217</v>
      </c>
      <c r="C88" s="41" t="s">
        <v>10</v>
      </c>
      <c r="D88" s="36" t="s">
        <v>216</v>
      </c>
      <c r="E88" s="41" t="s">
        <v>11</v>
      </c>
      <c r="F88" s="42">
        <f>'memória de cálculo'!D76</f>
        <v>2</v>
      </c>
      <c r="G88" s="43">
        <v>23.77</v>
      </c>
      <c r="H88" s="57">
        <f t="shared" si="40"/>
        <v>29.111118999999999</v>
      </c>
      <c r="I88" s="40">
        <f t="shared" si="36"/>
        <v>58.222237999999997</v>
      </c>
    </row>
    <row r="89" spans="1:9" ht="25.5" x14ac:dyDescent="0.25">
      <c r="A89" s="45" t="s">
        <v>246</v>
      </c>
      <c r="B89" s="41">
        <v>97633</v>
      </c>
      <c r="C89" s="41" t="s">
        <v>25</v>
      </c>
      <c r="D89" s="36" t="s">
        <v>218</v>
      </c>
      <c r="E89" s="41" t="s">
        <v>12</v>
      </c>
      <c r="F89" s="42">
        <f>'memória de cálculo'!D77</f>
        <v>14.55</v>
      </c>
      <c r="G89" s="43">
        <v>30.39</v>
      </c>
      <c r="H89" s="57">
        <f t="shared" si="40"/>
        <v>37.218632999999997</v>
      </c>
      <c r="I89" s="40">
        <f t="shared" si="36"/>
        <v>541.53111015000002</v>
      </c>
    </row>
    <row r="90" spans="1:9" ht="25.5" x14ac:dyDescent="0.25">
      <c r="A90" s="72" t="s">
        <v>247</v>
      </c>
      <c r="B90" s="41">
        <v>97633</v>
      </c>
      <c r="C90" s="41" t="s">
        <v>25</v>
      </c>
      <c r="D90" s="36" t="s">
        <v>219</v>
      </c>
      <c r="E90" s="41" t="s">
        <v>12</v>
      </c>
      <c r="F90" s="42">
        <f>'memória de cálculo'!D78</f>
        <v>53.010000000000005</v>
      </c>
      <c r="G90" s="43">
        <v>30.39</v>
      </c>
      <c r="H90" s="57">
        <f t="shared" ref="H90" si="41">G90*(1+$H$11)</f>
        <v>37.218632999999997</v>
      </c>
      <c r="I90" s="40">
        <f t="shared" ref="I90" si="42">H90*F90</f>
        <v>1972.9597353300001</v>
      </c>
    </row>
    <row r="91" spans="1:9" x14ac:dyDescent="0.25">
      <c r="A91" s="71" t="s">
        <v>248</v>
      </c>
      <c r="B91" s="61"/>
      <c r="C91" s="61"/>
      <c r="D91" s="62" t="s">
        <v>156</v>
      </c>
      <c r="E91" s="49"/>
      <c r="F91" s="50"/>
      <c r="G91" s="51"/>
      <c r="H91" s="63"/>
      <c r="I91" s="52"/>
    </row>
    <row r="92" spans="1:9" ht="51" x14ac:dyDescent="0.25">
      <c r="A92" s="45" t="s">
        <v>249</v>
      </c>
      <c r="B92" s="54">
        <v>87620</v>
      </c>
      <c r="C92" s="55" t="s">
        <v>25</v>
      </c>
      <c r="D92" s="56" t="s">
        <v>159</v>
      </c>
      <c r="E92" s="37" t="s">
        <v>12</v>
      </c>
      <c r="F92" s="38">
        <f>'memória de cálculo'!D80</f>
        <v>14.55</v>
      </c>
      <c r="G92" s="39">
        <v>29.86</v>
      </c>
      <c r="H92" s="57">
        <f t="shared" ref="H92:H94" si="43">G92*(1+$H$11)</f>
        <v>36.569541999999998</v>
      </c>
      <c r="I92" s="40">
        <f t="shared" ref="I92:I94" si="44">H92*F92</f>
        <v>532.08683610000003</v>
      </c>
    </row>
    <row r="93" spans="1:9" ht="38.25" x14ac:dyDescent="0.25">
      <c r="A93" s="45" t="s">
        <v>250</v>
      </c>
      <c r="B93" s="54">
        <v>87262</v>
      </c>
      <c r="C93" s="55" t="s">
        <v>25</v>
      </c>
      <c r="D93" s="56" t="s">
        <v>357</v>
      </c>
      <c r="E93" s="37" t="s">
        <v>12</v>
      </c>
      <c r="F93" s="38">
        <f>'memória de cálculo'!D81</f>
        <v>14.55</v>
      </c>
      <c r="G93" s="39">
        <v>120.77</v>
      </c>
      <c r="H93" s="57">
        <f t="shared" si="43"/>
        <v>147.90701899999999</v>
      </c>
      <c r="I93" s="40">
        <f t="shared" si="44"/>
        <v>2152.0471264500002</v>
      </c>
    </row>
    <row r="94" spans="1:9" ht="25.5" x14ac:dyDescent="0.25">
      <c r="A94" s="45" t="s">
        <v>251</v>
      </c>
      <c r="B94" s="54">
        <v>98689</v>
      </c>
      <c r="C94" s="55" t="s">
        <v>25</v>
      </c>
      <c r="D94" s="56" t="s">
        <v>166</v>
      </c>
      <c r="E94" s="37" t="s">
        <v>64</v>
      </c>
      <c r="F94" s="38">
        <f>'memória de cálculo'!D82</f>
        <v>3.6</v>
      </c>
      <c r="G94" s="39">
        <v>127.9</v>
      </c>
      <c r="H94" s="57">
        <f t="shared" si="43"/>
        <v>156.63912999999999</v>
      </c>
      <c r="I94" s="40">
        <f t="shared" si="44"/>
        <v>563.90086799999995</v>
      </c>
    </row>
    <row r="95" spans="1:9" x14ac:dyDescent="0.25">
      <c r="A95" s="71" t="s">
        <v>254</v>
      </c>
      <c r="B95" s="61"/>
      <c r="C95" s="61"/>
      <c r="D95" s="62" t="s">
        <v>224</v>
      </c>
      <c r="E95" s="49"/>
      <c r="F95" s="50"/>
      <c r="G95" s="51"/>
      <c r="H95" s="63"/>
      <c r="I95" s="52"/>
    </row>
    <row r="96" spans="1:9" ht="38.25" x14ac:dyDescent="0.25">
      <c r="A96" s="45" t="s">
        <v>255</v>
      </c>
      <c r="B96" s="41">
        <v>87893</v>
      </c>
      <c r="C96" s="41" t="s">
        <v>25</v>
      </c>
      <c r="D96" s="36" t="s">
        <v>74</v>
      </c>
      <c r="E96" s="41" t="s">
        <v>12</v>
      </c>
      <c r="F96" s="42">
        <f>'memória de cálculo'!D84</f>
        <v>53.01</v>
      </c>
      <c r="G96" s="43">
        <v>8.4499999999999993</v>
      </c>
      <c r="H96" s="57">
        <f>G96*(1+$H$11)</f>
        <v>10.348714999999999</v>
      </c>
      <c r="I96" s="48">
        <f t="shared" ref="I96" si="45">H96*F96</f>
        <v>548.58538214999987</v>
      </c>
    </row>
    <row r="97" spans="1:9" ht="63.75" x14ac:dyDescent="0.25">
      <c r="A97" s="45" t="s">
        <v>256</v>
      </c>
      <c r="B97" s="41">
        <v>87527</v>
      </c>
      <c r="C97" s="41" t="s">
        <v>25</v>
      </c>
      <c r="D97" s="36" t="s">
        <v>75</v>
      </c>
      <c r="E97" s="41" t="s">
        <v>12</v>
      </c>
      <c r="F97" s="42">
        <f>'memória de cálculo'!D85</f>
        <v>53.01</v>
      </c>
      <c r="G97" s="43">
        <v>41.95</v>
      </c>
      <c r="H97" s="57">
        <f t="shared" ref="H97:H98" si="46">G97*(1+$H$11)</f>
        <v>51.376165</v>
      </c>
      <c r="I97" s="48">
        <f>H97*F97</f>
        <v>2723.4505066500001</v>
      </c>
    </row>
    <row r="98" spans="1:9" ht="25.5" x14ac:dyDescent="0.25">
      <c r="A98" s="45" t="s">
        <v>257</v>
      </c>
      <c r="B98" s="54" t="s">
        <v>77</v>
      </c>
      <c r="C98" s="54" t="s">
        <v>10</v>
      </c>
      <c r="D98" s="56" t="s">
        <v>76</v>
      </c>
      <c r="E98" s="41" t="s">
        <v>12</v>
      </c>
      <c r="F98" s="42">
        <f>'memória de cálculo'!D86</f>
        <v>53.01</v>
      </c>
      <c r="G98" s="43">
        <v>110.79</v>
      </c>
      <c r="H98" s="57">
        <f t="shared" si="46"/>
        <v>135.68451300000001</v>
      </c>
      <c r="I98" s="44">
        <f t="shared" ref="I98" si="47">H98*F98</f>
        <v>7192.6360341300006</v>
      </c>
    </row>
    <row r="99" spans="1:9" x14ac:dyDescent="0.25">
      <c r="A99" s="71" t="s">
        <v>252</v>
      </c>
      <c r="B99" s="61"/>
      <c r="C99" s="61"/>
      <c r="D99" s="62" t="s">
        <v>228</v>
      </c>
      <c r="E99" s="49"/>
      <c r="F99" s="50"/>
      <c r="G99" s="51"/>
      <c r="H99" s="63"/>
      <c r="I99" s="52"/>
    </row>
    <row r="100" spans="1:9" ht="38.25" x14ac:dyDescent="0.25">
      <c r="A100" s="73" t="s">
        <v>253</v>
      </c>
      <c r="B100" s="64">
        <v>95470</v>
      </c>
      <c r="C100" s="53" t="s">
        <v>25</v>
      </c>
      <c r="D100" s="56" t="s">
        <v>230</v>
      </c>
      <c r="E100" s="64" t="s">
        <v>11</v>
      </c>
      <c r="F100" s="65">
        <f>'memória de cálculo'!D88</f>
        <v>3</v>
      </c>
      <c r="G100" s="66">
        <v>303.32</v>
      </c>
      <c r="H100" s="57">
        <f>G100*(1+$H$11)</f>
        <v>371.47600399999999</v>
      </c>
      <c r="I100" s="40">
        <f t="shared" ref="I100:I101" si="48">H100*F100</f>
        <v>1114.4280119999999</v>
      </c>
    </row>
    <row r="101" spans="1:9" ht="51" x14ac:dyDescent="0.25">
      <c r="A101" s="73" t="s">
        <v>258</v>
      </c>
      <c r="B101" s="64">
        <v>95472</v>
      </c>
      <c r="C101" s="53" t="s">
        <v>25</v>
      </c>
      <c r="D101" s="56" t="s">
        <v>229</v>
      </c>
      <c r="E101" s="64" t="s">
        <v>11</v>
      </c>
      <c r="F101" s="65">
        <f>'memória de cálculo'!D89</f>
        <v>1</v>
      </c>
      <c r="G101" s="66">
        <v>753.91</v>
      </c>
      <c r="H101" s="57">
        <f>G101*(1+$H$11)</f>
        <v>923.3135769999999</v>
      </c>
      <c r="I101" s="40">
        <f t="shared" si="48"/>
        <v>923.3135769999999</v>
      </c>
    </row>
    <row r="102" spans="1:9" ht="25.5" x14ac:dyDescent="0.25">
      <c r="A102" s="73" t="s">
        <v>259</v>
      </c>
      <c r="B102" s="64">
        <v>86902</v>
      </c>
      <c r="C102" s="53" t="s">
        <v>25</v>
      </c>
      <c r="D102" s="56" t="s">
        <v>231</v>
      </c>
      <c r="E102" s="64" t="s">
        <v>11</v>
      </c>
      <c r="F102" s="65">
        <f>'memória de cálculo'!D90</f>
        <v>3</v>
      </c>
      <c r="G102" s="66">
        <v>318.07</v>
      </c>
      <c r="H102" s="57">
        <f t="shared" ref="H102:H106" si="49">G102*(1+$H$11)</f>
        <v>389.54032899999999</v>
      </c>
      <c r="I102" s="40">
        <f t="shared" ref="I102:I106" si="50">H102*F102</f>
        <v>1168.620987</v>
      </c>
    </row>
    <row r="103" spans="1:9" ht="38.25" x14ac:dyDescent="0.25">
      <c r="A103" s="73" t="s">
        <v>260</v>
      </c>
      <c r="B103" s="64">
        <v>86904</v>
      </c>
      <c r="C103" s="53" t="s">
        <v>25</v>
      </c>
      <c r="D103" s="56" t="s">
        <v>232</v>
      </c>
      <c r="E103" s="64" t="s">
        <v>11</v>
      </c>
      <c r="F103" s="65">
        <f>'memória de cálculo'!D91</f>
        <v>1</v>
      </c>
      <c r="G103" s="66">
        <v>147.81</v>
      </c>
      <c r="H103" s="57">
        <f t="shared" si="49"/>
        <v>181.02290699999998</v>
      </c>
      <c r="I103" s="40">
        <f t="shared" si="50"/>
        <v>181.02290699999998</v>
      </c>
    </row>
    <row r="104" spans="1:9" ht="38.25" x14ac:dyDescent="0.25">
      <c r="A104" s="73" t="s">
        <v>261</v>
      </c>
      <c r="B104" s="64">
        <v>89709</v>
      </c>
      <c r="C104" s="53" t="s">
        <v>25</v>
      </c>
      <c r="D104" s="56" t="s">
        <v>233</v>
      </c>
      <c r="E104" s="64" t="s">
        <v>11</v>
      </c>
      <c r="F104" s="65">
        <f>'memória de cálculo'!D92</f>
        <v>4</v>
      </c>
      <c r="G104" s="66">
        <v>24.24</v>
      </c>
      <c r="H104" s="57">
        <f t="shared" si="49"/>
        <v>29.686727999999995</v>
      </c>
      <c r="I104" s="40">
        <f t="shared" si="50"/>
        <v>118.74691199999998</v>
      </c>
    </row>
    <row r="105" spans="1:9" ht="38.25" x14ac:dyDescent="0.25">
      <c r="A105" s="73" t="s">
        <v>262</v>
      </c>
      <c r="B105" s="64" t="s">
        <v>235</v>
      </c>
      <c r="C105" s="53" t="s">
        <v>10</v>
      </c>
      <c r="D105" s="56" t="s">
        <v>234</v>
      </c>
      <c r="E105" s="64" t="s">
        <v>11</v>
      </c>
      <c r="F105" s="65">
        <f>'memória de cálculo'!D93</f>
        <v>4</v>
      </c>
      <c r="G105" s="66">
        <v>149.01</v>
      </c>
      <c r="H105" s="57">
        <f t="shared" si="49"/>
        <v>182.49254699999997</v>
      </c>
      <c r="I105" s="40">
        <f t="shared" si="50"/>
        <v>729.97018799999989</v>
      </c>
    </row>
    <row r="106" spans="1:9" x14ac:dyDescent="0.25">
      <c r="A106" s="73" t="s">
        <v>263</v>
      </c>
      <c r="B106" s="64" t="s">
        <v>237</v>
      </c>
      <c r="C106" s="53" t="s">
        <v>10</v>
      </c>
      <c r="D106" s="56" t="s">
        <v>236</v>
      </c>
      <c r="E106" s="64" t="s">
        <v>11</v>
      </c>
      <c r="F106" s="65">
        <f>'memória de cálculo'!D94</f>
        <v>4</v>
      </c>
      <c r="G106" s="66">
        <v>518.16999999999996</v>
      </c>
      <c r="H106" s="57">
        <f t="shared" si="49"/>
        <v>634.60279899999989</v>
      </c>
      <c r="I106" s="40">
        <f t="shared" si="50"/>
        <v>2538.4111959999996</v>
      </c>
    </row>
    <row r="107" spans="1:9" x14ac:dyDescent="0.25">
      <c r="A107" s="71" t="s">
        <v>264</v>
      </c>
      <c r="B107" s="61"/>
      <c r="C107" s="61"/>
      <c r="D107" s="62" t="s">
        <v>168</v>
      </c>
      <c r="E107" s="49"/>
      <c r="F107" s="50"/>
      <c r="G107" s="51"/>
      <c r="H107" s="63"/>
      <c r="I107" s="52"/>
    </row>
    <row r="108" spans="1:9" x14ac:dyDescent="0.25">
      <c r="A108" s="73" t="s">
        <v>265</v>
      </c>
      <c r="B108" s="54" t="s">
        <v>239</v>
      </c>
      <c r="C108" s="54" t="s">
        <v>10</v>
      </c>
      <c r="D108" s="56" t="s">
        <v>238</v>
      </c>
      <c r="E108" s="54" t="s">
        <v>11</v>
      </c>
      <c r="F108" s="79">
        <f>'memória de cálculo'!D96</f>
        <v>2</v>
      </c>
      <c r="G108" s="60">
        <v>303.45</v>
      </c>
      <c r="H108" s="57">
        <f t="shared" ref="H108" si="51">G108*(1+$H$11)</f>
        <v>371.63521499999996</v>
      </c>
      <c r="I108" s="60">
        <f>H108*F108</f>
        <v>743.27042999999992</v>
      </c>
    </row>
    <row r="109" spans="1:9" ht="38.25" x14ac:dyDescent="0.25">
      <c r="A109" s="73" t="s">
        <v>266</v>
      </c>
      <c r="B109" s="41" t="s">
        <v>241</v>
      </c>
      <c r="C109" s="41" t="s">
        <v>10</v>
      </c>
      <c r="D109" s="36" t="s">
        <v>240</v>
      </c>
      <c r="E109" s="41" t="s">
        <v>242</v>
      </c>
      <c r="F109" s="42">
        <f>'memória de cálculo'!D97</f>
        <v>2</v>
      </c>
      <c r="G109" s="43">
        <v>489.75</v>
      </c>
      <c r="H109" s="57">
        <f>G109*(1+$H$11)</f>
        <v>599.7968249999999</v>
      </c>
      <c r="I109" s="40">
        <f t="shared" ref="I109" si="52">H109*F109</f>
        <v>1199.5936499999998</v>
      </c>
    </row>
    <row r="110" spans="1:9" ht="24.75" customHeight="1" x14ac:dyDescent="0.25">
      <c r="A110" s="71" t="s">
        <v>267</v>
      </c>
      <c r="B110" s="61"/>
      <c r="C110" s="61"/>
      <c r="D110" s="62" t="s">
        <v>268</v>
      </c>
      <c r="E110" s="49"/>
      <c r="F110" s="50"/>
      <c r="G110" s="51"/>
      <c r="H110" s="63"/>
      <c r="I110" s="52">
        <f>SUM(I111:I114)</f>
        <v>9028.9384772499998</v>
      </c>
    </row>
    <row r="111" spans="1:9" ht="38.25" x14ac:dyDescent="0.25">
      <c r="A111" s="73" t="s">
        <v>277</v>
      </c>
      <c r="B111" s="41">
        <v>98546</v>
      </c>
      <c r="C111" s="41" t="s">
        <v>25</v>
      </c>
      <c r="D111" s="36" t="s">
        <v>269</v>
      </c>
      <c r="E111" s="41" t="s">
        <v>12</v>
      </c>
      <c r="F111" s="42">
        <f>'memória de cálculo'!D99</f>
        <v>51.75</v>
      </c>
      <c r="G111" s="43">
        <v>130.11000000000001</v>
      </c>
      <c r="H111" s="57">
        <f>G111*(1+$H$11)</f>
        <v>159.34571700000001</v>
      </c>
      <c r="I111" s="40">
        <f t="shared" ref="I111:I113" si="53">H111*F111</f>
        <v>8246.1408547499996</v>
      </c>
    </row>
    <row r="112" spans="1:9" x14ac:dyDescent="0.25">
      <c r="A112" s="73" t="s">
        <v>278</v>
      </c>
      <c r="B112" s="41" t="s">
        <v>271</v>
      </c>
      <c r="C112" s="41" t="s">
        <v>10</v>
      </c>
      <c r="D112" s="36" t="s">
        <v>270</v>
      </c>
      <c r="E112" s="41" t="s">
        <v>64</v>
      </c>
      <c r="F112" s="42">
        <f>'memória de cálculo'!D100</f>
        <v>5.5</v>
      </c>
      <c r="G112" s="43">
        <v>4.93</v>
      </c>
      <c r="H112" s="57">
        <f>G112*(1+$H$11)</f>
        <v>6.0377709999999993</v>
      </c>
      <c r="I112" s="40">
        <f t="shared" si="53"/>
        <v>33.2077405</v>
      </c>
    </row>
    <row r="113" spans="1:9" ht="38.25" x14ac:dyDescent="0.25">
      <c r="A113" s="73" t="s">
        <v>279</v>
      </c>
      <c r="B113" s="41">
        <v>94227</v>
      </c>
      <c r="C113" s="41" t="s">
        <v>25</v>
      </c>
      <c r="D113" s="36" t="s">
        <v>272</v>
      </c>
      <c r="E113" s="41" t="s">
        <v>64</v>
      </c>
      <c r="F113" s="42">
        <f>'memória de cálculo'!D101</f>
        <v>5.5</v>
      </c>
      <c r="G113" s="43">
        <v>66.52</v>
      </c>
      <c r="H113" s="57">
        <f>G113*(1+$H$11)</f>
        <v>81.467043999999987</v>
      </c>
      <c r="I113" s="40">
        <f t="shared" si="53"/>
        <v>448.06874199999993</v>
      </c>
    </row>
    <row r="114" spans="1:9" ht="25.5" x14ac:dyDescent="0.25">
      <c r="A114" s="73" t="s">
        <v>280</v>
      </c>
      <c r="B114" s="54">
        <v>100327</v>
      </c>
      <c r="C114" s="55" t="s">
        <v>25</v>
      </c>
      <c r="D114" s="59" t="s">
        <v>97</v>
      </c>
      <c r="E114" s="37" t="s">
        <v>64</v>
      </c>
      <c r="F114" s="38">
        <f>'memória de cálculo'!D102</f>
        <v>4</v>
      </c>
      <c r="G114" s="39">
        <v>61.55</v>
      </c>
      <c r="H114" s="57">
        <f t="shared" ref="H114" si="54">G114*(1+$H$11)</f>
        <v>75.380284999999986</v>
      </c>
      <c r="I114" s="40">
        <f>H114*F114</f>
        <v>301.52113999999995</v>
      </c>
    </row>
    <row r="115" spans="1:9" x14ac:dyDescent="0.25">
      <c r="A115" s="71" t="s">
        <v>281</v>
      </c>
      <c r="B115" s="61"/>
      <c r="C115" s="61"/>
      <c r="D115" s="62" t="s">
        <v>103</v>
      </c>
      <c r="E115" s="49"/>
      <c r="F115" s="50"/>
      <c r="G115" s="51"/>
      <c r="H115" s="63"/>
      <c r="I115" s="52">
        <f>SUM(I116:I121)</f>
        <v>9296.2825266999989</v>
      </c>
    </row>
    <row r="116" spans="1:9" x14ac:dyDescent="0.25">
      <c r="A116" s="45" t="s">
        <v>282</v>
      </c>
      <c r="B116" s="41" t="s">
        <v>173</v>
      </c>
      <c r="C116" s="41" t="s">
        <v>10</v>
      </c>
      <c r="D116" s="36" t="s">
        <v>172</v>
      </c>
      <c r="E116" s="41" t="s">
        <v>12</v>
      </c>
      <c r="F116" s="42">
        <f>'memória de cálculo'!D104</f>
        <v>3.1500000000000004</v>
      </c>
      <c r="G116" s="43">
        <v>1076.46</v>
      </c>
      <c r="H116" s="57">
        <f>G116*(1+$H$11)</f>
        <v>1318.3405619999999</v>
      </c>
      <c r="I116" s="40">
        <f t="shared" ref="I116:I117" si="55">H116*F116</f>
        <v>4152.7727703</v>
      </c>
    </row>
    <row r="117" spans="1:9" x14ac:dyDescent="0.25">
      <c r="A117" s="45" t="s">
        <v>294</v>
      </c>
      <c r="B117" s="41" t="s">
        <v>180</v>
      </c>
      <c r="C117" s="41" t="s">
        <v>10</v>
      </c>
      <c r="D117" s="36" t="s">
        <v>179</v>
      </c>
      <c r="E117" s="41" t="s">
        <v>12</v>
      </c>
      <c r="F117" s="42">
        <f>'memória de cálculo'!D105</f>
        <v>3.1500000000000004</v>
      </c>
      <c r="G117" s="43">
        <v>164.73</v>
      </c>
      <c r="H117" s="57">
        <f>G117*(1+$H$11)</f>
        <v>201.74483099999998</v>
      </c>
      <c r="I117" s="40">
        <f t="shared" si="55"/>
        <v>635.49621764999995</v>
      </c>
    </row>
    <row r="118" spans="1:9" x14ac:dyDescent="0.25">
      <c r="A118" s="45" t="s">
        <v>295</v>
      </c>
      <c r="B118" s="41" t="s">
        <v>286</v>
      </c>
      <c r="C118" s="41" t="s">
        <v>10</v>
      </c>
      <c r="D118" s="36" t="s">
        <v>285</v>
      </c>
      <c r="E118" s="41" t="s">
        <v>11</v>
      </c>
      <c r="F118" s="42">
        <f>'memória de cálculo'!D106</f>
        <v>10</v>
      </c>
      <c r="G118" s="43">
        <v>8.1199999999999992</v>
      </c>
      <c r="H118" s="57">
        <f>G118*(1+$H$11)</f>
        <v>9.944563999999998</v>
      </c>
      <c r="I118" s="40">
        <f>H118*F118</f>
        <v>99.445639999999983</v>
      </c>
    </row>
    <row r="119" spans="1:9" x14ac:dyDescent="0.25">
      <c r="A119" s="73" t="s">
        <v>296</v>
      </c>
      <c r="B119" s="41" t="s">
        <v>284</v>
      </c>
      <c r="C119" s="41" t="s">
        <v>10</v>
      </c>
      <c r="D119" s="36" t="s">
        <v>283</v>
      </c>
      <c r="E119" s="41" t="s">
        <v>11</v>
      </c>
      <c r="F119" s="42">
        <f>'memória de cálculo'!D107</f>
        <v>10</v>
      </c>
      <c r="G119" s="43">
        <v>347.45</v>
      </c>
      <c r="H119" s="57">
        <f t="shared" ref="H119" si="56">G119*(1+$H$11)</f>
        <v>425.52201499999995</v>
      </c>
      <c r="I119" s="40">
        <f t="shared" ref="I119:I121" si="57">H119*F119</f>
        <v>4255.2201499999992</v>
      </c>
    </row>
    <row r="120" spans="1:9" ht="25.5" x14ac:dyDescent="0.25">
      <c r="A120" s="73" t="s">
        <v>297</v>
      </c>
      <c r="B120" s="64">
        <v>97662</v>
      </c>
      <c r="C120" s="53" t="s">
        <v>25</v>
      </c>
      <c r="D120" s="56" t="s">
        <v>287</v>
      </c>
      <c r="E120" s="64" t="s">
        <v>64</v>
      </c>
      <c r="F120" s="65">
        <f>'memória de cálculo'!D108</f>
        <v>5</v>
      </c>
      <c r="G120" s="66">
        <v>0.7</v>
      </c>
      <c r="H120" s="57">
        <f>G120*(1+$H$11)</f>
        <v>0.85728999999999989</v>
      </c>
      <c r="I120" s="40">
        <f t="shared" si="57"/>
        <v>4.2864499999999994</v>
      </c>
    </row>
    <row r="121" spans="1:9" x14ac:dyDescent="0.25">
      <c r="A121" s="73" t="s">
        <v>298</v>
      </c>
      <c r="B121" s="64">
        <v>98671</v>
      </c>
      <c r="C121" s="53" t="s">
        <v>25</v>
      </c>
      <c r="D121" s="67" t="s">
        <v>288</v>
      </c>
      <c r="E121" s="64" t="s">
        <v>12</v>
      </c>
      <c r="F121" s="65">
        <f>'memória de cálculo'!D109</f>
        <v>0.25</v>
      </c>
      <c r="G121" s="66">
        <v>486.85</v>
      </c>
      <c r="H121" s="57">
        <f>G121*(1+$H$11)</f>
        <v>596.24519499999997</v>
      </c>
      <c r="I121" s="40">
        <f t="shared" si="57"/>
        <v>149.06129874999999</v>
      </c>
    </row>
    <row r="122" spans="1:9" x14ac:dyDescent="0.25">
      <c r="A122" s="71" t="s">
        <v>335</v>
      </c>
      <c r="B122" s="61"/>
      <c r="C122" s="61"/>
      <c r="D122" s="62" t="s">
        <v>299</v>
      </c>
      <c r="E122" s="49"/>
      <c r="F122" s="50"/>
      <c r="G122" s="51"/>
      <c r="H122" s="63"/>
      <c r="I122" s="52">
        <f>SUM(I123:I125)</f>
        <v>18425.269288202497</v>
      </c>
    </row>
    <row r="123" spans="1:9" ht="25.5" x14ac:dyDescent="0.25">
      <c r="A123" s="72" t="s">
        <v>336</v>
      </c>
      <c r="B123" s="64">
        <v>95626</v>
      </c>
      <c r="C123" s="53" t="s">
        <v>25</v>
      </c>
      <c r="D123" s="56" t="s">
        <v>343</v>
      </c>
      <c r="E123" s="64" t="s">
        <v>12</v>
      </c>
      <c r="F123" s="65">
        <f>'memória de cálculo'!D111</f>
        <v>554.05250000000001</v>
      </c>
      <c r="G123" s="66">
        <v>17.95</v>
      </c>
      <c r="H123" s="57">
        <f t="shared" ref="H123:H125" si="58">G123*(1+$H$11)</f>
        <v>21.983364999999996</v>
      </c>
      <c r="I123" s="40">
        <f t="shared" ref="I123" si="59">H123*F123</f>
        <v>12179.938336662497</v>
      </c>
    </row>
    <row r="124" spans="1:9" ht="51" x14ac:dyDescent="0.25">
      <c r="A124" s="73" t="s">
        <v>338</v>
      </c>
      <c r="B124" s="64">
        <v>100726</v>
      </c>
      <c r="C124" s="53" t="s">
        <v>25</v>
      </c>
      <c r="D124" s="56" t="s">
        <v>302</v>
      </c>
      <c r="E124" s="64" t="s">
        <v>12</v>
      </c>
      <c r="F124" s="65">
        <f>'memória de cálculo'!D112</f>
        <v>132.1</v>
      </c>
      <c r="G124" s="66">
        <v>32.909999999999997</v>
      </c>
      <c r="H124" s="57">
        <f t="shared" si="58"/>
        <v>40.304876999999991</v>
      </c>
      <c r="I124" s="40">
        <f t="shared" ref="I124:I125" si="60">H124*F124</f>
        <v>5324.2742516999988</v>
      </c>
    </row>
    <row r="125" spans="1:9" ht="25.5" x14ac:dyDescent="0.25">
      <c r="A125" s="73" t="s">
        <v>339</v>
      </c>
      <c r="B125" s="64">
        <v>102213</v>
      </c>
      <c r="C125" s="53" t="s">
        <v>25</v>
      </c>
      <c r="D125" s="56" t="s">
        <v>314</v>
      </c>
      <c r="E125" s="64" t="s">
        <v>12</v>
      </c>
      <c r="F125" s="65">
        <f>'memória de cálculo'!D113</f>
        <v>31.52</v>
      </c>
      <c r="G125" s="66">
        <v>23.86</v>
      </c>
      <c r="H125" s="57">
        <f t="shared" si="58"/>
        <v>29.221341999999996</v>
      </c>
      <c r="I125" s="40">
        <f t="shared" si="60"/>
        <v>921.05669983999985</v>
      </c>
    </row>
    <row r="126" spans="1:9" x14ac:dyDescent="0.25">
      <c r="A126" s="71" t="s">
        <v>340</v>
      </c>
      <c r="B126" s="61"/>
      <c r="C126" s="61"/>
      <c r="D126" s="62" t="s">
        <v>316</v>
      </c>
      <c r="E126" s="49"/>
      <c r="F126" s="50"/>
      <c r="G126" s="51"/>
      <c r="H126" s="63"/>
      <c r="I126" s="52">
        <f>SUM(I127:I129)</f>
        <v>48113.309829809994</v>
      </c>
    </row>
    <row r="127" spans="1:9" ht="25.5" x14ac:dyDescent="0.25">
      <c r="A127" s="73" t="s">
        <v>341</v>
      </c>
      <c r="B127" s="64">
        <v>102229</v>
      </c>
      <c r="C127" s="53" t="s">
        <v>25</v>
      </c>
      <c r="D127" s="56" t="s">
        <v>301</v>
      </c>
      <c r="E127" s="64" t="s">
        <v>12</v>
      </c>
      <c r="F127" s="65">
        <f>'memória de cálculo'!D115</f>
        <v>77.280000000000015</v>
      </c>
      <c r="G127" s="66">
        <v>30.05</v>
      </c>
      <c r="H127" s="57">
        <f>G127*(1+$H$11)</f>
        <v>36.802234999999996</v>
      </c>
      <c r="I127" s="40">
        <f t="shared" ref="I127:I129" si="61">H127*F127</f>
        <v>2844.0767208000002</v>
      </c>
    </row>
    <row r="128" spans="1:9" x14ac:dyDescent="0.25">
      <c r="A128" s="73" t="s">
        <v>342</v>
      </c>
      <c r="B128" s="64" t="s">
        <v>317</v>
      </c>
      <c r="C128" s="53" t="s">
        <v>10</v>
      </c>
      <c r="D128" s="56" t="s">
        <v>318</v>
      </c>
      <c r="E128" s="64" t="s">
        <v>12</v>
      </c>
      <c r="F128" s="65">
        <f>'memória de cálculo'!D116</f>
        <v>897.11999999999966</v>
      </c>
      <c r="G128" s="66">
        <v>36.340000000000003</v>
      </c>
      <c r="H128" s="57">
        <f>G128*(1+$H$11)</f>
        <v>44.505597999999999</v>
      </c>
      <c r="I128" s="40">
        <f t="shared" si="61"/>
        <v>39926.862077759986</v>
      </c>
    </row>
    <row r="129" spans="1:11" ht="25.5" x14ac:dyDescent="0.25">
      <c r="A129" s="73" t="s">
        <v>337</v>
      </c>
      <c r="B129" s="64">
        <v>104639</v>
      </c>
      <c r="C129" s="53" t="s">
        <v>25</v>
      </c>
      <c r="D129" s="56" t="s">
        <v>331</v>
      </c>
      <c r="E129" s="64" t="s">
        <v>12</v>
      </c>
      <c r="F129" s="65">
        <f>'memória de cálculo'!D117</f>
        <v>317.25000000000006</v>
      </c>
      <c r="G129" s="66">
        <v>13.75</v>
      </c>
      <c r="H129" s="57">
        <f>G129*(1+$H$11)</f>
        <v>16.839624999999998</v>
      </c>
      <c r="I129" s="40">
        <f t="shared" si="61"/>
        <v>5342.3710312500007</v>
      </c>
      <c r="K129" s="127"/>
    </row>
    <row r="130" spans="1:11" ht="29.25" customHeight="1" x14ac:dyDescent="0.25">
      <c r="A130" s="74"/>
      <c r="B130" s="7"/>
      <c r="C130" s="7"/>
      <c r="D130" s="8"/>
      <c r="E130" s="132" t="s">
        <v>15</v>
      </c>
      <c r="F130" s="132"/>
      <c r="G130" s="132"/>
      <c r="H130" s="132"/>
      <c r="I130" s="9">
        <f>I122+I115+I110+I85+I54+I15+I126</f>
        <v>205139.3972959028</v>
      </c>
    </row>
    <row r="132" spans="1:11" x14ac:dyDescent="0.25">
      <c r="E132" s="128"/>
      <c r="F132" s="128"/>
      <c r="G132" s="128"/>
      <c r="H132" s="128"/>
      <c r="I132" s="128"/>
    </row>
    <row r="133" spans="1:11" x14ac:dyDescent="0.25">
      <c r="E133" s="128" t="s">
        <v>359</v>
      </c>
      <c r="F133" s="128"/>
      <c r="G133" s="128"/>
      <c r="H133" s="128"/>
      <c r="I133" s="128"/>
    </row>
    <row r="134" spans="1:11" x14ac:dyDescent="0.25">
      <c r="E134" s="128"/>
      <c r="F134" s="128"/>
      <c r="G134" s="128"/>
      <c r="H134" s="128"/>
      <c r="I134" s="128"/>
    </row>
    <row r="135" spans="1:11" x14ac:dyDescent="0.25">
      <c r="E135" s="128" t="s">
        <v>360</v>
      </c>
      <c r="F135" s="128"/>
      <c r="G135" s="128"/>
      <c r="H135" s="128"/>
      <c r="I135" s="128"/>
    </row>
    <row r="136" spans="1:11" x14ac:dyDescent="0.25">
      <c r="E136" s="128" t="s">
        <v>361</v>
      </c>
      <c r="F136" s="128"/>
      <c r="G136" s="128"/>
      <c r="H136" s="128"/>
      <c r="I136" s="128"/>
    </row>
    <row r="137" spans="1:11" x14ac:dyDescent="0.25">
      <c r="E137" s="128" t="s">
        <v>362</v>
      </c>
      <c r="F137" s="128"/>
      <c r="G137" s="128"/>
      <c r="H137" s="128"/>
      <c r="I137" s="128"/>
    </row>
    <row r="138" spans="1:11" x14ac:dyDescent="0.25">
      <c r="E138" s="128" t="s">
        <v>29</v>
      </c>
      <c r="F138" s="128"/>
      <c r="G138" s="128"/>
      <c r="H138" s="128"/>
      <c r="I138" s="128"/>
    </row>
  </sheetData>
  <mergeCells count="13">
    <mergeCell ref="E136:I136"/>
    <mergeCell ref="E137:I137"/>
    <mergeCell ref="E138:I138"/>
    <mergeCell ref="E130:H130"/>
    <mergeCell ref="G5:G7"/>
    <mergeCell ref="G9:G10"/>
    <mergeCell ref="E132:I132"/>
    <mergeCell ref="E135:I135"/>
    <mergeCell ref="A8:I8"/>
    <mergeCell ref="E133:I133"/>
    <mergeCell ref="E134:I134"/>
    <mergeCell ref="A9:D9"/>
    <mergeCell ref="A10:D10"/>
  </mergeCells>
  <conditionalFormatting sqref="A23">
    <cfRule type="expression" dxfId="237" priority="437">
      <formula>IF($L23="T",TRUE,FALSE)</formula>
    </cfRule>
    <cfRule type="expression" dxfId="236" priority="436">
      <formula>IF($L23="I",TRUE,FALSE)</formula>
    </cfRule>
  </conditionalFormatting>
  <conditionalFormatting sqref="A25:A35 I25:I35 E35:G35 A37:A39 E37:G39">
    <cfRule type="expression" dxfId="235" priority="214">
      <formula>IF($L25="I",TRUE,FALSE)</formula>
    </cfRule>
    <cfRule type="expression" dxfId="234" priority="215">
      <formula>IF($L25="T",TRUE,FALSE)</formula>
    </cfRule>
  </conditionalFormatting>
  <conditionalFormatting sqref="A41:A49">
    <cfRule type="expression" dxfId="233" priority="202">
      <formula>IF($L41="I",TRUE,FALSE)</formula>
    </cfRule>
    <cfRule type="expression" dxfId="232" priority="203">
      <formula>IF($L41="T",TRUE,FALSE)</formula>
    </cfRule>
  </conditionalFormatting>
  <conditionalFormatting sqref="A52:A99">
    <cfRule type="expression" dxfId="231" priority="88">
      <formula>IF($L52="T",TRUE,FALSE)</formula>
    </cfRule>
    <cfRule type="expression" dxfId="230" priority="87">
      <formula>IF($L52="I",TRUE,FALSE)</formula>
    </cfRule>
  </conditionalFormatting>
  <conditionalFormatting sqref="A107:A129">
    <cfRule type="expression" dxfId="229" priority="34">
      <formula>IF($L107="I",TRUE,FALSE)</formula>
    </cfRule>
    <cfRule type="expression" dxfId="228" priority="35">
      <formula>IF($L107="T",TRUE,FALSE)</formula>
    </cfRule>
  </conditionalFormatting>
  <conditionalFormatting sqref="A44:C44 E44:I44">
    <cfRule type="expression" dxfId="227" priority="444">
      <formula>IF($L44="T",TRUE,FALSE)</formula>
    </cfRule>
    <cfRule type="expression" dxfId="226" priority="443">
      <formula>IF($L44="I",TRUE,FALSE)</formula>
    </cfRule>
  </conditionalFormatting>
  <conditionalFormatting sqref="A50:G50 I46:I50">
    <cfRule type="expression" dxfId="225" priority="11">
      <formula>IF($L46="T",TRUE,FALSE)</formula>
    </cfRule>
  </conditionalFormatting>
  <conditionalFormatting sqref="A15:I16 A100:D106 C23 B49:G49 B52:G53 E23:G23 I23">
    <cfRule type="expression" dxfId="224" priority="785">
      <formula>IF($L15="T",TRUE,FALSE)</formula>
    </cfRule>
  </conditionalFormatting>
  <conditionalFormatting sqref="A15:I16 C23 E23:G23 I23 B49:G49 B52:G53 A100:D106">
    <cfRule type="expression" dxfId="223" priority="784">
      <formula>IF($L15="I",TRUE,FALSE)</formula>
    </cfRule>
  </conditionalFormatting>
  <conditionalFormatting sqref="A22:I22">
    <cfRule type="expression" dxfId="222" priority="194">
      <formula>IF($L22="I",TRUE,FALSE)</formula>
    </cfRule>
    <cfRule type="expression" dxfId="221" priority="195">
      <formula>IF($L22="T",TRUE,FALSE)</formula>
    </cfRule>
  </conditionalFormatting>
  <conditionalFormatting sqref="A24:I24">
    <cfRule type="expression" dxfId="220" priority="183">
      <formula>IF($L24="I",TRUE,FALSE)</formula>
    </cfRule>
    <cfRule type="expression" dxfId="219" priority="184">
      <formula>IF($L24="T",TRUE,FALSE)</formula>
    </cfRule>
  </conditionalFormatting>
  <conditionalFormatting sqref="A36:I36">
    <cfRule type="expression" dxfId="218" priority="170">
      <formula>IF($L36="T",TRUE,FALSE)</formula>
    </cfRule>
    <cfRule type="expression" dxfId="217" priority="169">
      <formula>IF($L36="I",TRUE,FALSE)</formula>
    </cfRule>
  </conditionalFormatting>
  <conditionalFormatting sqref="A40:I40">
    <cfRule type="expression" dxfId="216" priority="164">
      <formula>IF($L40="I",TRUE,FALSE)</formula>
    </cfRule>
    <cfRule type="expression" dxfId="215" priority="165">
      <formula>IF($L40="T",TRUE,FALSE)</formula>
    </cfRule>
  </conditionalFormatting>
  <conditionalFormatting sqref="A51:I51">
    <cfRule type="expression" dxfId="214" priority="146">
      <formula>IF($L51="T",TRUE,FALSE)</formula>
    </cfRule>
    <cfRule type="expression" dxfId="213" priority="145">
      <formula>IF($L51="I",TRUE,FALSE)</formula>
    </cfRule>
  </conditionalFormatting>
  <conditionalFormatting sqref="B32:D32">
    <cfRule type="expression" dxfId="212" priority="179">
      <formula>IF($L32="T",TRUE,FALSE)</formula>
    </cfRule>
    <cfRule type="expression" dxfId="211" priority="178">
      <formula>IF($L32="I",TRUE,FALSE)</formula>
    </cfRule>
  </conditionalFormatting>
  <conditionalFormatting sqref="B65:D65">
    <cfRule type="expression" dxfId="210" priority="126">
      <formula>IF($L65="T",TRUE,FALSE)</formula>
    </cfRule>
    <cfRule type="expression" dxfId="209" priority="125">
      <formula>IF($L65="I",TRUE,FALSE)</formula>
    </cfRule>
  </conditionalFormatting>
  <conditionalFormatting sqref="B120:D121">
    <cfRule type="expression" dxfId="208" priority="29">
      <formula>IF($L120="I",TRUE,FALSE)</formula>
    </cfRule>
    <cfRule type="expression" dxfId="207" priority="30">
      <formula>IF($L120="T",TRUE,FALSE)</formula>
    </cfRule>
  </conditionalFormatting>
  <conditionalFormatting sqref="B123:D125">
    <cfRule type="expression" dxfId="206" priority="579">
      <formula>IF($L123="T",TRUE,FALSE)</formula>
    </cfRule>
    <cfRule type="expression" dxfId="205" priority="578">
      <formula>IF($L123="I",TRUE,FALSE)</formula>
    </cfRule>
  </conditionalFormatting>
  <conditionalFormatting sqref="B127:D129">
    <cfRule type="expression" dxfId="204" priority="13">
      <formula>IF($L127="I",TRUE,FALSE)</formula>
    </cfRule>
    <cfRule type="expression" dxfId="203" priority="14">
      <formula>IF($L127="T",TRUE,FALSE)</formula>
    </cfRule>
  </conditionalFormatting>
  <conditionalFormatting sqref="B48:E48">
    <cfRule type="expression" dxfId="202" priority="38">
      <formula>IF($L48="T",TRUE,FALSE)</formula>
    </cfRule>
    <cfRule type="expression" dxfId="201" priority="37">
      <formula>IF($L48="I",TRUE,FALSE)</formula>
    </cfRule>
  </conditionalFormatting>
  <conditionalFormatting sqref="B33:G34">
    <cfRule type="expression" dxfId="200" priority="173">
      <formula>IF($L33="T",TRUE,FALSE)</formula>
    </cfRule>
    <cfRule type="expression" dxfId="199" priority="172">
      <formula>IF($L33="I",TRUE,FALSE)</formula>
    </cfRule>
  </conditionalFormatting>
  <conditionalFormatting sqref="B60:G61">
    <cfRule type="expression" dxfId="198" priority="135">
      <formula>IF($L60="T",TRUE,FALSE)</formula>
    </cfRule>
    <cfRule type="expression" dxfId="197" priority="134">
      <formula>IF($L60="I",TRUE,FALSE)</formula>
    </cfRule>
  </conditionalFormatting>
  <conditionalFormatting sqref="B66:G67">
    <cfRule type="expression" dxfId="196" priority="119">
      <formula>IF($L66="I",TRUE,FALSE)</formula>
    </cfRule>
    <cfRule type="expression" dxfId="195" priority="120">
      <formula>IF($L66="T",TRUE,FALSE)</formula>
    </cfRule>
  </conditionalFormatting>
  <conditionalFormatting sqref="B76:G78">
    <cfRule type="expression" dxfId="194" priority="91">
      <formula>IF($L76="T",TRUE,FALSE)</formula>
    </cfRule>
    <cfRule type="expression" dxfId="193" priority="90">
      <formula>IF($L76="I",TRUE,FALSE)</formula>
    </cfRule>
  </conditionalFormatting>
  <conditionalFormatting sqref="B80:G82">
    <cfRule type="expression" dxfId="192" priority="99">
      <formula>IF($L80="I",TRUE,FALSE)</formula>
    </cfRule>
    <cfRule type="expression" dxfId="191" priority="100">
      <formula>IF($L80="T",TRUE,FALSE)</formula>
    </cfRule>
  </conditionalFormatting>
  <conditionalFormatting sqref="B87:G90">
    <cfRule type="expression" dxfId="190" priority="72">
      <formula>IF($L87="I",TRUE,FALSE)</formula>
    </cfRule>
    <cfRule type="expression" dxfId="189" priority="73">
      <formula>IF($L87="T",TRUE,FALSE)</formula>
    </cfRule>
  </conditionalFormatting>
  <conditionalFormatting sqref="B96:G97">
    <cfRule type="expression" dxfId="188" priority="50">
      <formula>IF($L96="I",TRUE,FALSE)</formula>
    </cfRule>
    <cfRule type="expression" dxfId="187" priority="51">
      <formula>IF($L96="T",TRUE,FALSE)</formula>
    </cfRule>
  </conditionalFormatting>
  <conditionalFormatting sqref="B109:G109">
    <cfRule type="expression" dxfId="186" priority="310">
      <formula>IF($L109="T",TRUE,FALSE)</formula>
    </cfRule>
    <cfRule type="expression" dxfId="185" priority="309">
      <formula>IF($L109="I",TRUE,FALSE)</formula>
    </cfRule>
  </conditionalFormatting>
  <conditionalFormatting sqref="B111:G113">
    <cfRule type="expression" dxfId="184" priority="287">
      <formula>IF($L111="T",TRUE,FALSE)</formula>
    </cfRule>
    <cfRule type="expression" dxfId="183" priority="286">
      <formula>IF($L111="I",TRUE,FALSE)</formula>
    </cfRule>
  </conditionalFormatting>
  <conditionalFormatting sqref="B116:G119">
    <cfRule type="expression" dxfId="182" priority="22">
      <formula>IF($L116="I",TRUE,FALSE)</formula>
    </cfRule>
    <cfRule type="expression" dxfId="181" priority="23">
      <formula>IF($L116="T",TRUE,FALSE)</formula>
    </cfRule>
  </conditionalFormatting>
  <conditionalFormatting sqref="C15:C16 C100:C106">
    <cfRule type="expression" dxfId="180" priority="783">
      <formula>IF($L15="I",TRUE,FALSE)</formula>
    </cfRule>
  </conditionalFormatting>
  <conditionalFormatting sqref="C22:C24">
    <cfRule type="expression" dxfId="179" priority="182">
      <formula>IF($L22="I",TRUE,FALSE)</formula>
    </cfRule>
  </conditionalFormatting>
  <conditionalFormatting sqref="C32:C34">
    <cfRule type="expression" dxfId="178" priority="171">
      <formula>IF($L32="I",TRUE,FALSE)</formula>
    </cfRule>
  </conditionalFormatting>
  <conditionalFormatting sqref="C36">
    <cfRule type="expression" dxfId="177" priority="168">
      <formula>IF($L36="I",TRUE,FALSE)</formula>
    </cfRule>
  </conditionalFormatting>
  <conditionalFormatting sqref="C40">
    <cfRule type="expression" dxfId="176" priority="163">
      <formula>IF($L40="I",TRUE,FALSE)</formula>
    </cfRule>
  </conditionalFormatting>
  <conditionalFormatting sqref="C44">
    <cfRule type="expression" dxfId="175" priority="442">
      <formula>IF($L44="I",TRUE,FALSE)</formula>
    </cfRule>
  </conditionalFormatting>
  <conditionalFormatting sqref="C48:C53">
    <cfRule type="expression" dxfId="174" priority="9">
      <formula>IF($L48="I",TRUE,FALSE)</formula>
    </cfRule>
  </conditionalFormatting>
  <conditionalFormatting sqref="C60:C61">
    <cfRule type="expression" dxfId="173" priority="133">
      <formula>IF($L60="I",TRUE,FALSE)</formula>
    </cfRule>
  </conditionalFormatting>
  <conditionalFormatting sqref="C65:C67">
    <cfRule type="expression" dxfId="172" priority="118">
      <formula>IF($L65="I",TRUE,FALSE)</formula>
    </cfRule>
  </conditionalFormatting>
  <conditionalFormatting sqref="C76:C78">
    <cfRule type="expression" dxfId="171" priority="89">
      <formula>IF($L76="I",TRUE,FALSE)</formula>
    </cfRule>
  </conditionalFormatting>
  <conditionalFormatting sqref="C80:C82">
    <cfRule type="expression" dxfId="170" priority="98">
      <formula>IF($L80="I",TRUE,FALSE)</formula>
    </cfRule>
  </conditionalFormatting>
  <conditionalFormatting sqref="C87:C90">
    <cfRule type="expression" dxfId="169" priority="71">
      <formula>IF($L87="I",TRUE,FALSE)</formula>
    </cfRule>
  </conditionalFormatting>
  <conditionalFormatting sqref="C96:C97">
    <cfRule type="expression" dxfId="168" priority="49">
      <formula>IF($L96="I",TRUE,FALSE)</formula>
    </cfRule>
  </conditionalFormatting>
  <conditionalFormatting sqref="C109">
    <cfRule type="expression" dxfId="167" priority="308">
      <formula>IF($L109="I",TRUE,FALSE)</formula>
    </cfRule>
  </conditionalFormatting>
  <conditionalFormatting sqref="C111:C113">
    <cfRule type="expression" dxfId="166" priority="285">
      <formula>IF($L111="I",TRUE,FALSE)</formula>
    </cfRule>
  </conditionalFormatting>
  <conditionalFormatting sqref="C116:C121">
    <cfRule type="expression" dxfId="165" priority="21">
      <formula>IF($L116="I",TRUE,FALSE)</formula>
    </cfRule>
  </conditionalFormatting>
  <conditionalFormatting sqref="C123:C125">
    <cfRule type="expression" dxfId="164" priority="577">
      <formula>IF($L123="I",TRUE,FALSE)</formula>
    </cfRule>
  </conditionalFormatting>
  <conditionalFormatting sqref="C127:C129">
    <cfRule type="expression" dxfId="163" priority="12">
      <formula>IF($L127="I",TRUE,FALSE)</formula>
    </cfRule>
  </conditionalFormatting>
  <conditionalFormatting sqref="E20:E21">
    <cfRule type="expression" dxfId="162" priority="197">
      <formula>IF($H20="T",TRUE,FALSE)</formula>
    </cfRule>
    <cfRule type="expression" dxfId="161" priority="196">
      <formula>IF($H20="I",TRUE,FALSE)</formula>
    </cfRule>
  </conditionalFormatting>
  <conditionalFormatting sqref="E47">
    <cfRule type="expression" dxfId="160" priority="149">
      <formula>IF($L47="I",TRUE,FALSE)</formula>
    </cfRule>
    <cfRule type="expression" dxfId="159" priority="150">
      <formula>IF($L47="T",TRUE,FALSE)</formula>
    </cfRule>
  </conditionalFormatting>
  <conditionalFormatting sqref="E62:E63">
    <cfRule type="expression" dxfId="158" priority="5">
      <formula>IF($H62="I",TRUE,FALSE)</formula>
    </cfRule>
    <cfRule type="expression" dxfId="157" priority="6">
      <formula>IF($H62="T",TRUE,FALSE)</formula>
    </cfRule>
  </conditionalFormatting>
  <conditionalFormatting sqref="E17:G19 A17:A21">
    <cfRule type="expression" dxfId="156" priority="200">
      <formula>IF($L17="I",TRUE,FALSE)</formula>
    </cfRule>
    <cfRule type="expression" dxfId="155" priority="201">
      <formula>IF($L17="T",TRUE,FALSE)</formula>
    </cfRule>
  </conditionalFormatting>
  <conditionalFormatting sqref="E25:G32">
    <cfRule type="expression" dxfId="154" priority="180">
      <formula>IF($L25="I",TRUE,FALSE)</formula>
    </cfRule>
    <cfRule type="expression" dxfId="153" priority="181">
      <formula>IF($L25="T",TRUE,FALSE)</formula>
    </cfRule>
  </conditionalFormatting>
  <conditionalFormatting sqref="E41:G43">
    <cfRule type="expression" dxfId="152" priority="152">
      <formula>IF($L41="T",TRUE,FALSE)</formula>
    </cfRule>
    <cfRule type="expression" dxfId="151" priority="151">
      <formula>IF($L41="I",TRUE,FALSE)</formula>
    </cfRule>
  </conditionalFormatting>
  <conditionalFormatting sqref="E46:G46">
    <cfRule type="expression" dxfId="150" priority="426">
      <formula>IF($L46="T",TRUE,FALSE)</formula>
    </cfRule>
    <cfRule type="expression" dxfId="149" priority="425">
      <formula>IF($L46="I",TRUE,FALSE)</formula>
    </cfRule>
  </conditionalFormatting>
  <conditionalFormatting sqref="E54:G59">
    <cfRule type="expression" dxfId="148" priority="137">
      <formula>IF($L54="T",TRUE,FALSE)</formula>
    </cfRule>
    <cfRule type="expression" dxfId="147" priority="136">
      <formula>IF($L54="I",TRUE,FALSE)</formula>
    </cfRule>
  </conditionalFormatting>
  <conditionalFormatting sqref="E64:G65">
    <cfRule type="expression" dxfId="146" priority="127">
      <formula>IF($L64="I",TRUE,FALSE)</formula>
    </cfRule>
    <cfRule type="expression" dxfId="145" priority="128">
      <formula>IF($L64="T",TRUE,FALSE)</formula>
    </cfRule>
  </conditionalFormatting>
  <conditionalFormatting sqref="E68:G75">
    <cfRule type="expression" dxfId="144" priority="115">
      <formula>IF($L68="T",TRUE,FALSE)</formula>
    </cfRule>
    <cfRule type="expression" dxfId="143" priority="114">
      <formula>IF($L68="I",TRUE,FALSE)</formula>
    </cfRule>
  </conditionalFormatting>
  <conditionalFormatting sqref="E79:G79">
    <cfRule type="expression" dxfId="142" priority="372">
      <formula>IF($L79="T",TRUE,FALSE)</formula>
    </cfRule>
    <cfRule type="expression" dxfId="141" priority="371">
      <formula>IF($L79="I",TRUE,FALSE)</formula>
    </cfRule>
  </conditionalFormatting>
  <conditionalFormatting sqref="E83:G86">
    <cfRule type="expression" dxfId="140" priority="86">
      <formula>IF($L83="T",TRUE,FALSE)</formula>
    </cfRule>
    <cfRule type="expression" dxfId="139" priority="85">
      <formula>IF($L83="I",TRUE,FALSE)</formula>
    </cfRule>
  </conditionalFormatting>
  <conditionalFormatting sqref="E91:G95">
    <cfRule type="expression" dxfId="138" priority="65">
      <formula>IF($L91="I",TRUE,FALSE)</formula>
    </cfRule>
    <cfRule type="expression" dxfId="137" priority="66">
      <formula>IF($L91="T",TRUE,FALSE)</formula>
    </cfRule>
  </conditionalFormatting>
  <conditionalFormatting sqref="E98:G99">
    <cfRule type="expression" dxfId="136" priority="55">
      <formula>IF($L98="I",TRUE,FALSE)</formula>
    </cfRule>
    <cfRule type="expression" dxfId="135" priority="56">
      <formula>IF($L98="T",TRUE,FALSE)</formula>
    </cfRule>
  </conditionalFormatting>
  <conditionalFormatting sqref="E107:G107">
    <cfRule type="expression" dxfId="134" priority="311">
      <formula>IF($L107="I",TRUE,FALSE)</formula>
    </cfRule>
    <cfRule type="expression" dxfId="133" priority="312">
      <formula>IF($L107="T",TRUE,FALSE)</formula>
    </cfRule>
  </conditionalFormatting>
  <conditionalFormatting sqref="E110:G110">
    <cfRule type="expression" dxfId="132" priority="304">
      <formula>IF($L110="I",TRUE,FALSE)</formula>
    </cfRule>
    <cfRule type="expression" dxfId="131" priority="305">
      <formula>IF($L110="T",TRUE,FALSE)</formula>
    </cfRule>
  </conditionalFormatting>
  <conditionalFormatting sqref="E114:G115">
    <cfRule type="expression" dxfId="130" priority="40">
      <formula>IF($L114="T",TRUE,FALSE)</formula>
    </cfRule>
    <cfRule type="expression" dxfId="129" priority="39">
      <formula>IF($L114="I",TRUE,FALSE)</formula>
    </cfRule>
  </conditionalFormatting>
  <conditionalFormatting sqref="E122:G122">
    <cfRule type="expression" dxfId="128" priority="268">
      <formula>IF($L122="I",TRUE,FALSE)</formula>
    </cfRule>
    <cfRule type="expression" dxfId="127" priority="269">
      <formula>IF($L122="T",TRUE,FALSE)</formula>
    </cfRule>
  </conditionalFormatting>
  <conditionalFormatting sqref="E126:G126">
    <cfRule type="expression" dxfId="126" priority="255">
      <formula>IF($L126="I",TRUE,FALSE)</formula>
    </cfRule>
    <cfRule type="expression" dxfId="125" priority="256">
      <formula>IF($L126="T",TRUE,FALSE)</formula>
    </cfRule>
  </conditionalFormatting>
  <conditionalFormatting sqref="F20:G21">
    <cfRule type="expression" dxfId="124" priority="600">
      <formula>IF($L20="T",TRUE,FALSE)</formula>
    </cfRule>
    <cfRule type="expression" dxfId="123" priority="599">
      <formula>IF($L20="I",TRUE,FALSE)</formula>
    </cfRule>
  </conditionalFormatting>
  <conditionalFormatting sqref="F47:G48">
    <cfRule type="expression" dxfId="122" priority="423">
      <formula>IF($L47="I",TRUE,FALSE)</formula>
    </cfRule>
    <cfRule type="expression" dxfId="121" priority="424">
      <formula>IF($L47="T",TRUE,FALSE)</formula>
    </cfRule>
  </conditionalFormatting>
  <conditionalFormatting sqref="I17:I21">
    <cfRule type="expression" dxfId="120" priority="199">
      <formula>IF($L17="T",TRUE,FALSE)</formula>
    </cfRule>
    <cfRule type="expression" dxfId="119" priority="198">
      <formula>IF($L17="I",TRUE,FALSE)</formula>
    </cfRule>
  </conditionalFormatting>
  <conditionalFormatting sqref="I37:I39">
    <cfRule type="expression" dxfId="118" priority="166">
      <formula>IF($L37="I",TRUE,FALSE)</formula>
    </cfRule>
    <cfRule type="expression" dxfId="117" priority="167">
      <formula>IF($L37="T",TRUE,FALSE)</formula>
    </cfRule>
  </conditionalFormatting>
  <conditionalFormatting sqref="I41:I43">
    <cfRule type="expression" dxfId="116" priority="156">
      <formula>IF($L41="T",TRUE,FALSE)</formula>
    </cfRule>
    <cfRule type="expression" dxfId="115" priority="155">
      <formula>IF($L41="I",TRUE,FALSE)</formula>
    </cfRule>
  </conditionalFormatting>
  <conditionalFormatting sqref="I46:I50 A50:G50">
    <cfRule type="expression" dxfId="114" priority="10">
      <formula>IF($L46="I",TRUE,FALSE)</formula>
    </cfRule>
  </conditionalFormatting>
  <conditionalFormatting sqref="I52:I107 F62:G63">
    <cfRule type="expression" dxfId="113" priority="8">
      <formula>IF($L52="T",TRUE,FALSE)</formula>
    </cfRule>
    <cfRule type="expression" dxfId="112" priority="7">
      <formula>IF($L52="I",TRUE,FALSE)</formula>
    </cfRule>
  </conditionalFormatting>
  <conditionalFormatting sqref="I109:I129">
    <cfRule type="expression" dxfId="111" priority="25">
      <formula>IF($L109="T",TRUE,FALSE)</formula>
    </cfRule>
    <cfRule type="expression" dxfId="110" priority="24">
      <formula>IF($L109="I",TRUE,FALSE)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5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117"/>
  <sheetViews>
    <sheetView topLeftCell="A76" zoomScale="110" zoomScaleNormal="110" workbookViewId="0">
      <selection activeCell="A81" sqref="A81:XFD81"/>
    </sheetView>
  </sheetViews>
  <sheetFormatPr defaultRowHeight="15" x14ac:dyDescent="0.25"/>
  <cols>
    <col min="1" max="1" width="9.140625" style="4"/>
    <col min="2" max="2" width="55.7109375" style="2" customWidth="1"/>
    <col min="3" max="3" width="9.140625" style="2"/>
    <col min="4" max="4" width="13.28515625" style="80" customWidth="1"/>
    <col min="5" max="5" width="45.28515625" style="3" customWidth="1"/>
    <col min="7" max="7" width="12.28515625" bestFit="1" customWidth="1"/>
  </cols>
  <sheetData>
    <row r="2" spans="1:5" x14ac:dyDescent="0.25">
      <c r="A2" s="15" t="s">
        <v>2</v>
      </c>
      <c r="B2" s="28" t="s">
        <v>4</v>
      </c>
      <c r="C2" s="28" t="s">
        <v>5</v>
      </c>
      <c r="D2" s="78" t="s">
        <v>6</v>
      </c>
      <c r="E2" s="15" t="s">
        <v>28</v>
      </c>
    </row>
    <row r="3" spans="1:5" ht="15" customHeight="1" x14ac:dyDescent="0.25">
      <c r="A3" s="69" t="s">
        <v>18</v>
      </c>
      <c r="B3" s="31" t="s">
        <v>32</v>
      </c>
      <c r="C3" s="32"/>
      <c r="D3" s="33"/>
      <c r="E3" s="81"/>
    </row>
    <row r="4" spans="1:5" ht="15" customHeight="1" x14ac:dyDescent="0.25">
      <c r="A4" s="87" t="s">
        <v>19</v>
      </c>
      <c r="B4" s="89" t="s">
        <v>33</v>
      </c>
      <c r="C4" s="90"/>
      <c r="D4" s="91"/>
      <c r="E4" s="76"/>
    </row>
    <row r="5" spans="1:5" ht="51" x14ac:dyDescent="0.25">
      <c r="A5" s="45" t="s">
        <v>34</v>
      </c>
      <c r="B5" s="56" t="s">
        <v>36</v>
      </c>
      <c r="C5" s="37" t="s">
        <v>12</v>
      </c>
      <c r="D5" s="38">
        <f>6.2*2.2</f>
        <v>13.640000000000002</v>
      </c>
      <c r="E5" s="39" t="s">
        <v>37</v>
      </c>
    </row>
    <row r="6" spans="1:5" ht="25.5" x14ac:dyDescent="0.25">
      <c r="A6" s="37" t="s">
        <v>20</v>
      </c>
      <c r="B6" s="59" t="s">
        <v>26</v>
      </c>
      <c r="C6" s="37" t="s">
        <v>13</v>
      </c>
      <c r="D6" s="38">
        <f>6.2*0.4*0.2</f>
        <v>0.49600000000000011</v>
      </c>
      <c r="E6" s="39" t="s">
        <v>38</v>
      </c>
    </row>
    <row r="7" spans="1:5" x14ac:dyDescent="0.25">
      <c r="A7" s="45" t="s">
        <v>21</v>
      </c>
      <c r="B7" s="56" t="s">
        <v>39</v>
      </c>
      <c r="C7" s="41" t="s">
        <v>11</v>
      </c>
      <c r="D7" s="42">
        <v>1</v>
      </c>
      <c r="E7" s="43" t="s">
        <v>41</v>
      </c>
    </row>
    <row r="8" spans="1:5" ht="25.5" x14ac:dyDescent="0.25">
      <c r="A8" s="37" t="s">
        <v>22</v>
      </c>
      <c r="B8" s="56" t="s">
        <v>35</v>
      </c>
      <c r="C8" s="41" t="s">
        <v>13</v>
      </c>
      <c r="D8" s="42">
        <f>46.8*0.1</f>
        <v>4.68</v>
      </c>
      <c r="E8" s="43" t="s">
        <v>42</v>
      </c>
    </row>
    <row r="9" spans="1:5" ht="38.25" x14ac:dyDescent="0.25">
      <c r="A9" s="37" t="s">
        <v>23</v>
      </c>
      <c r="B9" s="56" t="s">
        <v>46</v>
      </c>
      <c r="C9" s="41" t="s">
        <v>13</v>
      </c>
      <c r="D9" s="42">
        <f>(30/100*(D6+D8))+(D6+D8)</f>
        <v>6.7287999999999997</v>
      </c>
      <c r="E9" s="43" t="s">
        <v>48</v>
      </c>
    </row>
    <row r="10" spans="1:5" x14ac:dyDescent="0.25">
      <c r="A10" s="87" t="s">
        <v>20</v>
      </c>
      <c r="B10" s="89" t="s">
        <v>45</v>
      </c>
      <c r="C10" s="90"/>
      <c r="D10" s="93"/>
      <c r="E10" s="94"/>
    </row>
    <row r="11" spans="1:5" ht="38.25" x14ac:dyDescent="0.25">
      <c r="A11" s="45" t="s">
        <v>52</v>
      </c>
      <c r="B11" s="56" t="s">
        <v>49</v>
      </c>
      <c r="C11" s="45" t="s">
        <v>13</v>
      </c>
      <c r="D11" s="42">
        <f>85*0.5</f>
        <v>42.5</v>
      </c>
      <c r="E11" s="43" t="s">
        <v>51</v>
      </c>
    </row>
    <row r="12" spans="1:5" x14ac:dyDescent="0.25">
      <c r="A12" s="87" t="s">
        <v>21</v>
      </c>
      <c r="B12" s="89" t="s">
        <v>53</v>
      </c>
      <c r="C12" s="90"/>
      <c r="D12" s="93"/>
      <c r="E12" s="94"/>
    </row>
    <row r="13" spans="1:5" ht="38.25" x14ac:dyDescent="0.25">
      <c r="A13" s="45" t="s">
        <v>56</v>
      </c>
      <c r="B13" s="56" t="s">
        <v>54</v>
      </c>
      <c r="C13" s="41" t="s">
        <v>12</v>
      </c>
      <c r="D13" s="42">
        <v>82.15</v>
      </c>
      <c r="E13" s="43" t="s">
        <v>55</v>
      </c>
    </row>
    <row r="14" spans="1:5" ht="38.25" x14ac:dyDescent="0.25">
      <c r="A14" s="45" t="s">
        <v>57</v>
      </c>
      <c r="B14" s="56" t="s">
        <v>58</v>
      </c>
      <c r="C14" s="37" t="s">
        <v>13</v>
      </c>
      <c r="D14" s="42">
        <f>8.55*0.2*0.3</f>
        <v>0.51300000000000001</v>
      </c>
      <c r="E14" s="43" t="s">
        <v>65</v>
      </c>
    </row>
    <row r="15" spans="1:5" ht="25.5" x14ac:dyDescent="0.25">
      <c r="A15" s="45" t="s">
        <v>110</v>
      </c>
      <c r="B15" s="56" t="s">
        <v>59</v>
      </c>
      <c r="C15" s="37" t="s">
        <v>60</v>
      </c>
      <c r="D15" s="42">
        <f>D16*80</f>
        <v>41.04</v>
      </c>
      <c r="E15" s="43" t="s">
        <v>66</v>
      </c>
    </row>
    <row r="16" spans="1:5" ht="38.25" x14ac:dyDescent="0.25">
      <c r="A16" s="45" t="s">
        <v>111</v>
      </c>
      <c r="B16" s="56" t="s">
        <v>61</v>
      </c>
      <c r="C16" s="37" t="s">
        <v>13</v>
      </c>
      <c r="D16" s="42">
        <f>8.55*0.2*0.3</f>
        <v>0.51300000000000001</v>
      </c>
      <c r="E16" s="43" t="s">
        <v>65</v>
      </c>
    </row>
    <row r="17" spans="1:5" ht="38.25" x14ac:dyDescent="0.25">
      <c r="A17" s="45" t="s">
        <v>112</v>
      </c>
      <c r="B17" s="56" t="s">
        <v>62</v>
      </c>
      <c r="C17" s="37" t="s">
        <v>12</v>
      </c>
      <c r="D17" s="42">
        <f>8.55*0.3*2</f>
        <v>5.13</v>
      </c>
      <c r="E17" s="43" t="s">
        <v>67</v>
      </c>
    </row>
    <row r="18" spans="1:5" ht="38.25" x14ac:dyDescent="0.25">
      <c r="A18" s="45" t="s">
        <v>114</v>
      </c>
      <c r="B18" s="56" t="s">
        <v>63</v>
      </c>
      <c r="C18" s="37" t="s">
        <v>64</v>
      </c>
      <c r="D18" s="42">
        <v>7</v>
      </c>
      <c r="E18" s="43" t="s">
        <v>68</v>
      </c>
    </row>
    <row r="19" spans="1:5" ht="25.5" x14ac:dyDescent="0.25">
      <c r="A19" s="45" t="s">
        <v>115</v>
      </c>
      <c r="B19" s="56" t="s">
        <v>69</v>
      </c>
      <c r="C19" s="37" t="s">
        <v>13</v>
      </c>
      <c r="D19" s="42">
        <f>(7*0.15*0.2*2.2)+(6.75*0.15*0.02)</f>
        <v>0.48225000000000007</v>
      </c>
      <c r="E19" s="43" t="s">
        <v>71</v>
      </c>
    </row>
    <row r="20" spans="1:5" ht="38.25" x14ac:dyDescent="0.25">
      <c r="A20" s="45" t="s">
        <v>116</v>
      </c>
      <c r="B20" s="36" t="s">
        <v>72</v>
      </c>
      <c r="C20" s="41" t="s">
        <v>12</v>
      </c>
      <c r="D20" s="42">
        <f>6.75*2.2</f>
        <v>14.850000000000001</v>
      </c>
      <c r="E20" s="43" t="s">
        <v>73</v>
      </c>
    </row>
    <row r="21" spans="1:5" ht="38.25" x14ac:dyDescent="0.25">
      <c r="A21" s="45" t="s">
        <v>117</v>
      </c>
      <c r="B21" s="36" t="s">
        <v>74</v>
      </c>
      <c r="C21" s="41" t="s">
        <v>12</v>
      </c>
      <c r="D21" s="42">
        <f>6.75*2.2*2</f>
        <v>29.700000000000003</v>
      </c>
      <c r="E21" s="43" t="s">
        <v>78</v>
      </c>
    </row>
    <row r="22" spans="1:5" ht="63.75" x14ac:dyDescent="0.25">
      <c r="A22" s="45" t="s">
        <v>118</v>
      </c>
      <c r="B22" s="36" t="s">
        <v>75</v>
      </c>
      <c r="C22" s="41" t="s">
        <v>12</v>
      </c>
      <c r="D22" s="42">
        <f t="shared" ref="D22:D23" si="0">6.75*2.2*2</f>
        <v>29.700000000000003</v>
      </c>
      <c r="E22" s="43" t="s">
        <v>78</v>
      </c>
    </row>
    <row r="23" spans="1:5" ht="25.5" x14ac:dyDescent="0.25">
      <c r="A23" s="70" t="s">
        <v>119</v>
      </c>
      <c r="B23" s="56" t="s">
        <v>76</v>
      </c>
      <c r="C23" s="41" t="s">
        <v>12</v>
      </c>
      <c r="D23" s="42">
        <f t="shared" si="0"/>
        <v>29.700000000000003</v>
      </c>
      <c r="E23" s="43" t="s">
        <v>78</v>
      </c>
    </row>
    <row r="24" spans="1:5" x14ac:dyDescent="0.25">
      <c r="A24" s="87" t="s">
        <v>22</v>
      </c>
      <c r="B24" s="89" t="s">
        <v>79</v>
      </c>
      <c r="C24" s="90"/>
      <c r="D24" s="93"/>
      <c r="E24" s="94"/>
    </row>
    <row r="25" spans="1:5" ht="25.5" x14ac:dyDescent="0.25">
      <c r="A25" s="70" t="s">
        <v>120</v>
      </c>
      <c r="B25" s="56" t="s">
        <v>82</v>
      </c>
      <c r="C25" s="41" t="s">
        <v>12</v>
      </c>
      <c r="D25" s="42">
        <v>8.15</v>
      </c>
      <c r="E25" s="43" t="s">
        <v>85</v>
      </c>
    </row>
    <row r="26" spans="1:5" x14ac:dyDescent="0.25">
      <c r="A26" s="70" t="s">
        <v>121</v>
      </c>
      <c r="B26" s="56" t="s">
        <v>80</v>
      </c>
      <c r="C26" s="41" t="s">
        <v>13</v>
      </c>
      <c r="D26" s="42">
        <f>8.15*0.2</f>
        <v>1.6300000000000001</v>
      </c>
      <c r="E26" s="43" t="s">
        <v>86</v>
      </c>
    </row>
    <row r="27" spans="1:5" ht="25.5" x14ac:dyDescent="0.25">
      <c r="A27" s="70" t="s">
        <v>122</v>
      </c>
      <c r="B27" s="56" t="s">
        <v>84</v>
      </c>
      <c r="C27" s="41" t="s">
        <v>12</v>
      </c>
      <c r="D27" s="42">
        <v>8.15</v>
      </c>
      <c r="E27" s="43" t="s">
        <v>85</v>
      </c>
    </row>
    <row r="28" spans="1:5" x14ac:dyDescent="0.25">
      <c r="A28" s="87" t="s">
        <v>23</v>
      </c>
      <c r="B28" s="89" t="s">
        <v>87</v>
      </c>
      <c r="C28" s="90"/>
      <c r="D28" s="95"/>
      <c r="E28" s="94"/>
    </row>
    <row r="29" spans="1:5" ht="38.25" x14ac:dyDescent="0.25">
      <c r="A29" s="45" t="s">
        <v>123</v>
      </c>
      <c r="B29" s="56" t="s">
        <v>58</v>
      </c>
      <c r="C29" s="37" t="s">
        <v>13</v>
      </c>
      <c r="D29" s="79">
        <f>1*0.3*0.3*6</f>
        <v>0.54</v>
      </c>
      <c r="E29" s="77" t="s">
        <v>89</v>
      </c>
    </row>
    <row r="30" spans="1:5" ht="38.25" x14ac:dyDescent="0.25">
      <c r="A30" s="45" t="s">
        <v>124</v>
      </c>
      <c r="B30" s="56" t="s">
        <v>61</v>
      </c>
      <c r="C30" s="37" t="s">
        <v>13</v>
      </c>
      <c r="D30" s="79">
        <f>1*0.3*0.3*6</f>
        <v>0.54</v>
      </c>
      <c r="E30" s="77" t="s">
        <v>90</v>
      </c>
    </row>
    <row r="31" spans="1:5" ht="54" customHeight="1" x14ac:dyDescent="0.25">
      <c r="A31" s="45" t="s">
        <v>125</v>
      </c>
      <c r="B31" s="56" t="s">
        <v>88</v>
      </c>
      <c r="C31" s="54" t="s">
        <v>64</v>
      </c>
      <c r="D31" s="38">
        <f>3.8*6</f>
        <v>22.799999999999997</v>
      </c>
      <c r="E31" s="39" t="s">
        <v>91</v>
      </c>
    </row>
    <row r="32" spans="1:5" ht="38.25" x14ac:dyDescent="0.25">
      <c r="A32" s="45" t="s">
        <v>126</v>
      </c>
      <c r="B32" s="59" t="s">
        <v>92</v>
      </c>
      <c r="C32" s="37" t="s">
        <v>12</v>
      </c>
      <c r="D32" s="38">
        <v>32.200000000000003</v>
      </c>
      <c r="E32" s="43" t="s">
        <v>96</v>
      </c>
    </row>
    <row r="33" spans="1:5" ht="38.25" x14ac:dyDescent="0.25">
      <c r="A33" s="45" t="s">
        <v>127</v>
      </c>
      <c r="B33" s="56" t="s">
        <v>93</v>
      </c>
      <c r="C33" s="54" t="s">
        <v>11</v>
      </c>
      <c r="D33" s="42">
        <v>3</v>
      </c>
      <c r="E33" s="43" t="s">
        <v>94</v>
      </c>
    </row>
    <row r="34" spans="1:5" ht="25.5" x14ac:dyDescent="0.25">
      <c r="A34" s="45" t="s">
        <v>128</v>
      </c>
      <c r="B34" s="56" t="s">
        <v>95</v>
      </c>
      <c r="C34" s="54" t="s">
        <v>12</v>
      </c>
      <c r="D34" s="42">
        <v>32.200000000000003</v>
      </c>
      <c r="E34" s="43" t="s">
        <v>96</v>
      </c>
    </row>
    <row r="35" spans="1:5" ht="25.5" x14ac:dyDescent="0.25">
      <c r="A35" s="45" t="s">
        <v>129</v>
      </c>
      <c r="B35" s="59" t="s">
        <v>97</v>
      </c>
      <c r="C35" s="37" t="s">
        <v>64</v>
      </c>
      <c r="D35" s="42">
        <f>1.85*2*2</f>
        <v>7.4</v>
      </c>
      <c r="E35" s="43" t="s">
        <v>99</v>
      </c>
    </row>
    <row r="36" spans="1:5" ht="38.25" x14ac:dyDescent="0.25">
      <c r="A36" s="45" t="s">
        <v>130</v>
      </c>
      <c r="B36" s="56" t="s">
        <v>98</v>
      </c>
      <c r="C36" s="41" t="s">
        <v>64</v>
      </c>
      <c r="D36" s="42">
        <f>8.8*2</f>
        <v>17.600000000000001</v>
      </c>
      <c r="E36" s="43" t="s">
        <v>100</v>
      </c>
    </row>
    <row r="37" spans="1:5" ht="25.5" x14ac:dyDescent="0.25">
      <c r="A37" s="45" t="s">
        <v>131</v>
      </c>
      <c r="B37" s="36" t="s">
        <v>101</v>
      </c>
      <c r="C37" s="41" t="s">
        <v>64</v>
      </c>
      <c r="D37" s="42">
        <f>2*3</f>
        <v>6</v>
      </c>
      <c r="E37" s="43" t="s">
        <v>102</v>
      </c>
    </row>
    <row r="38" spans="1:5" x14ac:dyDescent="0.25">
      <c r="A38" s="116" t="s">
        <v>344</v>
      </c>
      <c r="B38" s="36" t="s">
        <v>345</v>
      </c>
      <c r="C38" s="117" t="s">
        <v>64</v>
      </c>
      <c r="D38" s="42">
        <v>23.8</v>
      </c>
      <c r="E38" s="43" t="s">
        <v>347</v>
      </c>
    </row>
    <row r="39" spans="1:5" x14ac:dyDescent="0.25">
      <c r="A39" s="87" t="s">
        <v>132</v>
      </c>
      <c r="B39" s="89" t="s">
        <v>103</v>
      </c>
      <c r="C39" s="90"/>
      <c r="D39" s="93"/>
      <c r="E39" s="94"/>
    </row>
    <row r="40" spans="1:5" ht="38.25" x14ac:dyDescent="0.25">
      <c r="A40" s="45" t="s">
        <v>133</v>
      </c>
      <c r="B40" s="36" t="s">
        <v>104</v>
      </c>
      <c r="C40" s="41" t="s">
        <v>11</v>
      </c>
      <c r="D40" s="42">
        <v>4</v>
      </c>
      <c r="E40" s="43" t="s">
        <v>106</v>
      </c>
    </row>
    <row r="41" spans="1:5" ht="25.5" x14ac:dyDescent="0.25">
      <c r="A41" s="45" t="s">
        <v>134</v>
      </c>
      <c r="B41" s="56" t="s">
        <v>107</v>
      </c>
      <c r="C41" s="41" t="s">
        <v>12</v>
      </c>
      <c r="D41" s="42">
        <f>1.8*2.2</f>
        <v>3.9600000000000004</v>
      </c>
      <c r="E41" s="43" t="s">
        <v>109</v>
      </c>
    </row>
    <row r="42" spans="1:5" ht="23.25" customHeight="1" x14ac:dyDescent="0.25">
      <c r="A42" s="71" t="s">
        <v>135</v>
      </c>
      <c r="B42" s="62" t="s">
        <v>136</v>
      </c>
      <c r="C42" s="49"/>
      <c r="D42" s="96"/>
      <c r="E42" s="97"/>
    </row>
    <row r="43" spans="1:5" ht="21" customHeight="1" x14ac:dyDescent="0.25">
      <c r="A43" s="71" t="s">
        <v>137</v>
      </c>
      <c r="B43" s="62" t="s">
        <v>43</v>
      </c>
      <c r="C43" s="49"/>
      <c r="D43" s="50"/>
      <c r="E43" s="76"/>
    </row>
    <row r="44" spans="1:5" ht="25.5" x14ac:dyDescent="0.25">
      <c r="A44" s="45" t="s">
        <v>186</v>
      </c>
      <c r="B44" s="56" t="s">
        <v>26</v>
      </c>
      <c r="C44" s="37" t="s">
        <v>13</v>
      </c>
      <c r="D44" s="79">
        <f>1.8*2.2*0.25</f>
        <v>0.9900000000000001</v>
      </c>
      <c r="E44" s="77" t="s">
        <v>144</v>
      </c>
    </row>
    <row r="45" spans="1:5" ht="25.5" x14ac:dyDescent="0.25">
      <c r="A45" s="70" t="s">
        <v>187</v>
      </c>
      <c r="B45" s="56" t="s">
        <v>39</v>
      </c>
      <c r="C45" s="41" t="s">
        <v>11</v>
      </c>
      <c r="D45" s="38">
        <v>3</v>
      </c>
      <c r="E45" s="39" t="s">
        <v>153</v>
      </c>
    </row>
    <row r="46" spans="1:5" ht="25.5" x14ac:dyDescent="0.25">
      <c r="A46" s="45" t="s">
        <v>188</v>
      </c>
      <c r="B46" s="56" t="s">
        <v>138</v>
      </c>
      <c r="C46" s="41" t="s">
        <v>64</v>
      </c>
      <c r="D46" s="38">
        <v>2</v>
      </c>
      <c r="E46" s="39" t="s">
        <v>145</v>
      </c>
    </row>
    <row r="47" spans="1:5" ht="25.5" x14ac:dyDescent="0.25">
      <c r="A47" s="45" t="s">
        <v>189</v>
      </c>
      <c r="B47" s="56" t="s">
        <v>140</v>
      </c>
      <c r="C47" s="41" t="s">
        <v>12</v>
      </c>
      <c r="D47" s="42">
        <f>3.9*2.1</f>
        <v>8.19</v>
      </c>
      <c r="E47" s="43" t="s">
        <v>146</v>
      </c>
    </row>
    <row r="48" spans="1:5" ht="25.5" x14ac:dyDescent="0.25">
      <c r="A48" s="45" t="s">
        <v>190</v>
      </c>
      <c r="B48" s="36" t="s">
        <v>142</v>
      </c>
      <c r="C48" s="41" t="s">
        <v>12</v>
      </c>
      <c r="D48" s="42">
        <v>43.1</v>
      </c>
      <c r="E48" s="43" t="s">
        <v>165</v>
      </c>
    </row>
    <row r="49" spans="1:5" ht="38.25" x14ac:dyDescent="0.25">
      <c r="A49" s="45" t="s">
        <v>191</v>
      </c>
      <c r="B49" s="36" t="s">
        <v>143</v>
      </c>
      <c r="C49" s="41" t="s">
        <v>12</v>
      </c>
      <c r="D49" s="42">
        <v>11</v>
      </c>
      <c r="E49" s="43" t="s">
        <v>148</v>
      </c>
    </row>
    <row r="50" spans="1:5" ht="25.5" x14ac:dyDescent="0.25">
      <c r="A50" s="37" t="s">
        <v>192</v>
      </c>
      <c r="B50" s="56" t="s">
        <v>35</v>
      </c>
      <c r="C50" s="41" t="s">
        <v>13</v>
      </c>
      <c r="D50" s="42">
        <f>D48*0.05</f>
        <v>2.1550000000000002</v>
      </c>
      <c r="E50" s="43" t="s">
        <v>349</v>
      </c>
    </row>
    <row r="51" spans="1:5" ht="38.25" x14ac:dyDescent="0.25">
      <c r="A51" s="45" t="s">
        <v>348</v>
      </c>
      <c r="B51" s="56" t="s">
        <v>46</v>
      </c>
      <c r="C51" s="41" t="s">
        <v>13</v>
      </c>
      <c r="D51" s="42">
        <f>3.26+(30/100*3.26)+D50</f>
        <v>6.3929999999999998</v>
      </c>
      <c r="E51" s="43" t="s">
        <v>149</v>
      </c>
    </row>
    <row r="52" spans="1:5" x14ac:dyDescent="0.25">
      <c r="A52" s="71" t="s">
        <v>150</v>
      </c>
      <c r="B52" s="62" t="s">
        <v>151</v>
      </c>
      <c r="C52" s="49"/>
      <c r="D52" s="50"/>
      <c r="E52" s="76"/>
    </row>
    <row r="53" spans="1:5" ht="38.25" x14ac:dyDescent="0.25">
      <c r="A53" s="45" t="s">
        <v>193</v>
      </c>
      <c r="B53" s="36" t="s">
        <v>72</v>
      </c>
      <c r="C53" s="41" t="s">
        <v>12</v>
      </c>
      <c r="D53" s="42">
        <f>2*1.5</f>
        <v>3</v>
      </c>
      <c r="E53" s="43" t="s">
        <v>154</v>
      </c>
    </row>
    <row r="54" spans="1:5" ht="38.25" x14ac:dyDescent="0.25">
      <c r="A54" s="45" t="s">
        <v>194</v>
      </c>
      <c r="B54" s="36" t="s">
        <v>74</v>
      </c>
      <c r="C54" s="41" t="s">
        <v>12</v>
      </c>
      <c r="D54" s="42">
        <f>D53*2</f>
        <v>6</v>
      </c>
      <c r="E54" s="43"/>
    </row>
    <row r="55" spans="1:5" ht="51" x14ac:dyDescent="0.25">
      <c r="A55" s="45" t="s">
        <v>195</v>
      </c>
      <c r="B55" s="36" t="s">
        <v>152</v>
      </c>
      <c r="C55" s="41" t="s">
        <v>12</v>
      </c>
      <c r="D55" s="38">
        <f>D54</f>
        <v>6</v>
      </c>
      <c r="E55" s="39"/>
    </row>
    <row r="56" spans="1:5" ht="19.5" customHeight="1" x14ac:dyDescent="0.25">
      <c r="A56" s="71" t="s">
        <v>155</v>
      </c>
      <c r="B56" s="62" t="s">
        <v>156</v>
      </c>
      <c r="C56" s="49"/>
      <c r="D56" s="50"/>
      <c r="E56" s="76"/>
    </row>
    <row r="57" spans="1:5" ht="28.5" customHeight="1" x14ac:dyDescent="0.25">
      <c r="A57" s="45" t="s">
        <v>196</v>
      </c>
      <c r="B57" s="56" t="s">
        <v>157</v>
      </c>
      <c r="C57" s="37" t="s">
        <v>13</v>
      </c>
      <c r="D57" s="46">
        <f>7.2*0.5</f>
        <v>3.6</v>
      </c>
      <c r="E57" s="47" t="s">
        <v>161</v>
      </c>
    </row>
    <row r="58" spans="1:5" ht="49.5" customHeight="1" x14ac:dyDescent="0.25">
      <c r="A58" s="45" t="s">
        <v>113</v>
      </c>
      <c r="B58" s="56" t="s">
        <v>159</v>
      </c>
      <c r="C58" s="37" t="s">
        <v>12</v>
      </c>
      <c r="D58" s="46">
        <v>43.1</v>
      </c>
      <c r="E58" s="47" t="s">
        <v>162</v>
      </c>
    </row>
    <row r="59" spans="1:5" ht="25.5" x14ac:dyDescent="0.25">
      <c r="A59" s="45" t="s">
        <v>197</v>
      </c>
      <c r="B59" s="56" t="s">
        <v>160</v>
      </c>
      <c r="C59" s="37" t="s">
        <v>12</v>
      </c>
      <c r="D59" s="38">
        <v>7.2</v>
      </c>
      <c r="E59" s="39" t="s">
        <v>163</v>
      </c>
    </row>
    <row r="60" spans="1:5" ht="38.25" x14ac:dyDescent="0.25">
      <c r="A60" s="45" t="s">
        <v>198</v>
      </c>
      <c r="B60" s="56" t="s">
        <v>164</v>
      </c>
      <c r="C60" s="37" t="s">
        <v>12</v>
      </c>
      <c r="D60" s="38">
        <v>50.3</v>
      </c>
      <c r="E60" s="39" t="s">
        <v>147</v>
      </c>
    </row>
    <row r="61" spans="1:5" ht="25.5" x14ac:dyDescent="0.25">
      <c r="A61" s="45" t="s">
        <v>199</v>
      </c>
      <c r="B61" s="56" t="s">
        <v>166</v>
      </c>
      <c r="C61" s="37" t="s">
        <v>64</v>
      </c>
      <c r="D61" s="38">
        <f>1.8+3.9</f>
        <v>5.7</v>
      </c>
      <c r="E61" s="39" t="s">
        <v>167</v>
      </c>
    </row>
    <row r="62" spans="1:5" x14ac:dyDescent="0.25">
      <c r="A62" s="71" t="s">
        <v>200</v>
      </c>
      <c r="B62" s="62" t="s">
        <v>168</v>
      </c>
      <c r="C62" s="49"/>
      <c r="D62" s="96"/>
      <c r="E62" s="97"/>
    </row>
    <row r="63" spans="1:5" ht="51" x14ac:dyDescent="0.25">
      <c r="A63" s="45" t="s">
        <v>201</v>
      </c>
      <c r="B63" s="56" t="s">
        <v>169</v>
      </c>
      <c r="C63" s="37" t="s">
        <v>12</v>
      </c>
      <c r="D63" s="38">
        <f>2*1.5</f>
        <v>3</v>
      </c>
      <c r="E63" s="39" t="s">
        <v>174</v>
      </c>
    </row>
    <row r="64" spans="1:5" x14ac:dyDescent="0.25">
      <c r="A64" s="45" t="s">
        <v>202</v>
      </c>
      <c r="B64" s="36" t="s">
        <v>170</v>
      </c>
      <c r="C64" s="41" t="s">
        <v>12</v>
      </c>
      <c r="D64" s="38">
        <f>2.9*2.1</f>
        <v>6.09</v>
      </c>
      <c r="E64" s="39" t="s">
        <v>175</v>
      </c>
    </row>
    <row r="65" spans="1:5" x14ac:dyDescent="0.25">
      <c r="A65" s="45" t="s">
        <v>203</v>
      </c>
      <c r="B65" s="36" t="s">
        <v>172</v>
      </c>
      <c r="C65" s="41" t="s">
        <v>12</v>
      </c>
      <c r="D65" s="38">
        <f>1.8*2.1</f>
        <v>3.7800000000000002</v>
      </c>
      <c r="E65" s="39" t="s">
        <v>176</v>
      </c>
    </row>
    <row r="66" spans="1:5" x14ac:dyDescent="0.25">
      <c r="A66" s="45" t="s">
        <v>204</v>
      </c>
      <c r="B66" s="36" t="s">
        <v>179</v>
      </c>
      <c r="C66" s="41" t="s">
        <v>12</v>
      </c>
      <c r="D66" s="42">
        <f>D65+D64+D63</f>
        <v>12.870000000000001</v>
      </c>
      <c r="E66" s="98" t="s">
        <v>181</v>
      </c>
    </row>
    <row r="67" spans="1:5" x14ac:dyDescent="0.25">
      <c r="A67" s="71" t="s">
        <v>205</v>
      </c>
      <c r="B67" s="62" t="s">
        <v>177</v>
      </c>
      <c r="C67" s="49"/>
      <c r="D67" s="50"/>
      <c r="E67" s="76"/>
    </row>
    <row r="68" spans="1:5" ht="25.5" x14ac:dyDescent="0.25">
      <c r="A68" s="45" t="s">
        <v>206</v>
      </c>
      <c r="B68" s="36" t="s">
        <v>178</v>
      </c>
      <c r="C68" s="41" t="s">
        <v>13</v>
      </c>
      <c r="D68" s="38">
        <f>3.95*0.5</f>
        <v>1.9750000000000001</v>
      </c>
      <c r="E68" s="39" t="s">
        <v>182</v>
      </c>
    </row>
    <row r="69" spans="1:5" ht="38.25" x14ac:dyDescent="0.25">
      <c r="A69" s="45" t="s">
        <v>207</v>
      </c>
      <c r="B69" s="36" t="s">
        <v>74</v>
      </c>
      <c r="C69" s="41" t="s">
        <v>12</v>
      </c>
      <c r="D69" s="42">
        <f>6.6*0.5</f>
        <v>3.3</v>
      </c>
      <c r="E69" s="136" t="s">
        <v>183</v>
      </c>
    </row>
    <row r="70" spans="1:5" ht="51" x14ac:dyDescent="0.25">
      <c r="A70" s="45" t="s">
        <v>208</v>
      </c>
      <c r="B70" s="36" t="s">
        <v>152</v>
      </c>
      <c r="C70" s="41" t="s">
        <v>12</v>
      </c>
      <c r="D70" s="42">
        <f>6.6*0.5</f>
        <v>3.3</v>
      </c>
      <c r="E70" s="137"/>
    </row>
    <row r="71" spans="1:5" x14ac:dyDescent="0.25">
      <c r="A71" s="45" t="s">
        <v>209</v>
      </c>
      <c r="B71" s="56" t="s">
        <v>80</v>
      </c>
      <c r="C71" s="41" t="s">
        <v>13</v>
      </c>
      <c r="D71" s="42">
        <f>3.95*0.2</f>
        <v>0.79</v>
      </c>
      <c r="E71" s="43" t="s">
        <v>184</v>
      </c>
    </row>
    <row r="72" spans="1:5" ht="25.5" x14ac:dyDescent="0.25">
      <c r="A72" s="45" t="s">
        <v>210</v>
      </c>
      <c r="B72" s="56" t="s">
        <v>84</v>
      </c>
      <c r="C72" s="41" t="s">
        <v>12</v>
      </c>
      <c r="D72" s="42">
        <v>3.95</v>
      </c>
      <c r="E72" s="43" t="s">
        <v>185</v>
      </c>
    </row>
    <row r="73" spans="1:5" x14ac:dyDescent="0.25">
      <c r="A73" s="71" t="s">
        <v>211</v>
      </c>
      <c r="B73" s="62" t="s">
        <v>212</v>
      </c>
      <c r="C73" s="49"/>
      <c r="D73" s="50"/>
      <c r="E73" s="76"/>
    </row>
    <row r="74" spans="1:5" ht="42" customHeight="1" x14ac:dyDescent="0.25">
      <c r="A74" s="71" t="s">
        <v>213</v>
      </c>
      <c r="B74" s="62" t="s">
        <v>43</v>
      </c>
      <c r="C74" s="49"/>
      <c r="D74" s="93"/>
      <c r="E74" s="94"/>
    </row>
    <row r="75" spans="1:5" x14ac:dyDescent="0.25">
      <c r="A75" s="45" t="s">
        <v>244</v>
      </c>
      <c r="B75" s="36" t="s">
        <v>214</v>
      </c>
      <c r="C75" s="41" t="s">
        <v>11</v>
      </c>
      <c r="D75" s="42">
        <v>8</v>
      </c>
      <c r="E75" s="43" t="s">
        <v>220</v>
      </c>
    </row>
    <row r="76" spans="1:5" x14ac:dyDescent="0.25">
      <c r="A76" s="45" t="s">
        <v>245</v>
      </c>
      <c r="B76" s="36" t="s">
        <v>216</v>
      </c>
      <c r="C76" s="41" t="s">
        <v>11</v>
      </c>
      <c r="D76" s="42">
        <v>2</v>
      </c>
      <c r="E76" s="43" t="s">
        <v>221</v>
      </c>
    </row>
    <row r="77" spans="1:5" ht="25.5" x14ac:dyDescent="0.25">
      <c r="A77" s="45" t="s">
        <v>246</v>
      </c>
      <c r="B77" s="36" t="s">
        <v>218</v>
      </c>
      <c r="C77" s="41" t="s">
        <v>12</v>
      </c>
      <c r="D77" s="42">
        <v>14.55</v>
      </c>
      <c r="E77" s="43" t="s">
        <v>222</v>
      </c>
    </row>
    <row r="78" spans="1:5" ht="25.5" x14ac:dyDescent="0.25">
      <c r="A78" s="72" t="s">
        <v>247</v>
      </c>
      <c r="B78" s="36" t="s">
        <v>219</v>
      </c>
      <c r="C78" s="41" t="s">
        <v>12</v>
      </c>
      <c r="D78" s="42">
        <f>34.2*1.55</f>
        <v>53.010000000000005</v>
      </c>
      <c r="E78" s="43" t="s">
        <v>223</v>
      </c>
    </row>
    <row r="79" spans="1:5" x14ac:dyDescent="0.25">
      <c r="A79" s="71" t="s">
        <v>248</v>
      </c>
      <c r="B79" s="62" t="s">
        <v>156</v>
      </c>
      <c r="C79" s="49"/>
      <c r="D79" s="50"/>
      <c r="E79" s="76"/>
    </row>
    <row r="80" spans="1:5" ht="51" x14ac:dyDescent="0.25">
      <c r="A80" s="45" t="s">
        <v>249</v>
      </c>
      <c r="B80" s="56" t="s">
        <v>159</v>
      </c>
      <c r="C80" s="37" t="s">
        <v>12</v>
      </c>
      <c r="D80" s="46">
        <v>14.55</v>
      </c>
      <c r="E80" s="77" t="s">
        <v>225</v>
      </c>
    </row>
    <row r="81" spans="1:5" ht="38.25" x14ac:dyDescent="0.25">
      <c r="A81" s="45" t="s">
        <v>251</v>
      </c>
      <c r="B81" s="56" t="s">
        <v>164</v>
      </c>
      <c r="C81" s="37" t="s">
        <v>12</v>
      </c>
      <c r="D81" s="42">
        <v>14.55</v>
      </c>
      <c r="E81" s="43"/>
    </row>
    <row r="82" spans="1:5" ht="25.5" x14ac:dyDescent="0.25">
      <c r="A82" s="45" t="s">
        <v>350</v>
      </c>
      <c r="B82" s="56" t="s">
        <v>166</v>
      </c>
      <c r="C82" s="37" t="s">
        <v>64</v>
      </c>
      <c r="D82" s="42">
        <f>4*0.9</f>
        <v>3.6</v>
      </c>
      <c r="E82" s="43" t="s">
        <v>226</v>
      </c>
    </row>
    <row r="83" spans="1:5" x14ac:dyDescent="0.25">
      <c r="A83" s="71" t="s">
        <v>254</v>
      </c>
      <c r="B83" s="62" t="s">
        <v>224</v>
      </c>
      <c r="C83" s="49"/>
      <c r="D83" s="96"/>
      <c r="E83" s="97"/>
    </row>
    <row r="84" spans="1:5" ht="38.25" x14ac:dyDescent="0.25">
      <c r="A84" s="45" t="s">
        <v>255</v>
      </c>
      <c r="B84" s="36" t="s">
        <v>74</v>
      </c>
      <c r="C84" s="41" t="s">
        <v>12</v>
      </c>
      <c r="D84" s="38">
        <v>53.01</v>
      </c>
      <c r="E84" s="136" t="s">
        <v>227</v>
      </c>
    </row>
    <row r="85" spans="1:5" ht="63.75" x14ac:dyDescent="0.25">
      <c r="A85" s="45" t="s">
        <v>257</v>
      </c>
      <c r="B85" s="36" t="s">
        <v>75</v>
      </c>
      <c r="C85" s="41" t="s">
        <v>12</v>
      </c>
      <c r="D85" s="42">
        <v>53.01</v>
      </c>
      <c r="E85" s="138"/>
    </row>
    <row r="86" spans="1:5" ht="25.5" x14ac:dyDescent="0.25">
      <c r="A86" s="45" t="s">
        <v>351</v>
      </c>
      <c r="B86" s="56" t="s">
        <v>76</v>
      </c>
      <c r="C86" s="41" t="s">
        <v>12</v>
      </c>
      <c r="D86" s="42">
        <v>53.01</v>
      </c>
      <c r="E86" s="137"/>
    </row>
    <row r="87" spans="1:5" x14ac:dyDescent="0.25">
      <c r="A87" s="71" t="s">
        <v>252</v>
      </c>
      <c r="B87" s="62" t="s">
        <v>228</v>
      </c>
      <c r="C87" s="49"/>
      <c r="D87" s="50"/>
      <c r="E87" s="76"/>
    </row>
    <row r="88" spans="1:5" ht="38.25" x14ac:dyDescent="0.25">
      <c r="A88" s="73" t="s">
        <v>253</v>
      </c>
      <c r="B88" s="56" t="s">
        <v>230</v>
      </c>
      <c r="C88" s="64" t="s">
        <v>11</v>
      </c>
      <c r="D88" s="42">
        <v>3</v>
      </c>
      <c r="E88" s="43"/>
    </row>
    <row r="89" spans="1:5" ht="51" x14ac:dyDescent="0.25">
      <c r="A89" s="73" t="s">
        <v>258</v>
      </c>
      <c r="B89" s="56" t="s">
        <v>229</v>
      </c>
      <c r="C89" s="64" t="s">
        <v>11</v>
      </c>
      <c r="D89" s="42">
        <v>1</v>
      </c>
      <c r="E89" s="43" t="s">
        <v>243</v>
      </c>
    </row>
    <row r="90" spans="1:5" ht="25.5" x14ac:dyDescent="0.25">
      <c r="A90" s="73" t="s">
        <v>259</v>
      </c>
      <c r="B90" s="56" t="s">
        <v>231</v>
      </c>
      <c r="C90" s="64" t="s">
        <v>11</v>
      </c>
      <c r="D90" s="42">
        <v>3</v>
      </c>
      <c r="E90" s="43"/>
    </row>
    <row r="91" spans="1:5" ht="38.25" x14ac:dyDescent="0.25">
      <c r="A91" s="73" t="s">
        <v>260</v>
      </c>
      <c r="B91" s="56" t="s">
        <v>232</v>
      </c>
      <c r="C91" s="64" t="s">
        <v>11</v>
      </c>
      <c r="D91" s="42">
        <v>1</v>
      </c>
      <c r="E91" s="43" t="s">
        <v>243</v>
      </c>
    </row>
    <row r="92" spans="1:5" ht="38.25" x14ac:dyDescent="0.25">
      <c r="A92" s="73" t="s">
        <v>261</v>
      </c>
      <c r="B92" s="56" t="s">
        <v>233</v>
      </c>
      <c r="C92" s="64" t="s">
        <v>11</v>
      </c>
      <c r="D92" s="42">
        <v>4</v>
      </c>
      <c r="E92" s="43"/>
    </row>
    <row r="93" spans="1:5" ht="38.25" x14ac:dyDescent="0.25">
      <c r="A93" s="73" t="s">
        <v>262</v>
      </c>
      <c r="B93" s="56" t="s">
        <v>234</v>
      </c>
      <c r="C93" s="64" t="s">
        <v>11</v>
      </c>
      <c r="D93" s="46">
        <v>4</v>
      </c>
      <c r="E93" s="82"/>
    </row>
    <row r="94" spans="1:5" x14ac:dyDescent="0.25">
      <c r="A94" s="73" t="s">
        <v>263</v>
      </c>
      <c r="B94" s="56" t="s">
        <v>236</v>
      </c>
      <c r="C94" s="64" t="s">
        <v>11</v>
      </c>
      <c r="D94" s="46">
        <v>4</v>
      </c>
      <c r="E94" s="82"/>
    </row>
    <row r="95" spans="1:5" x14ac:dyDescent="0.25">
      <c r="A95" s="71" t="s">
        <v>264</v>
      </c>
      <c r="B95" s="62" t="s">
        <v>168</v>
      </c>
      <c r="C95" s="49"/>
      <c r="D95" s="93"/>
      <c r="E95" s="99"/>
    </row>
    <row r="96" spans="1:5" x14ac:dyDescent="0.25">
      <c r="A96" s="73" t="s">
        <v>265</v>
      </c>
      <c r="B96" s="56" t="s">
        <v>238</v>
      </c>
      <c r="C96" s="54" t="s">
        <v>11</v>
      </c>
      <c r="D96" s="46">
        <v>2</v>
      </c>
      <c r="E96" s="82"/>
    </row>
    <row r="97" spans="1:5" ht="38.25" x14ac:dyDescent="0.25">
      <c r="A97" s="73" t="s">
        <v>266</v>
      </c>
      <c r="B97" s="36" t="s">
        <v>240</v>
      </c>
      <c r="C97" s="41" t="s">
        <v>242</v>
      </c>
      <c r="D97" s="46">
        <v>2</v>
      </c>
      <c r="E97" s="82"/>
    </row>
    <row r="98" spans="1:5" x14ac:dyDescent="0.25">
      <c r="A98" s="71" t="s">
        <v>267</v>
      </c>
      <c r="B98" s="62" t="s">
        <v>268</v>
      </c>
      <c r="C98" s="49"/>
      <c r="D98" s="50"/>
      <c r="E98" s="76"/>
    </row>
    <row r="99" spans="1:5" ht="38.25" x14ac:dyDescent="0.25">
      <c r="A99" s="73" t="s">
        <v>277</v>
      </c>
      <c r="B99" s="36" t="s">
        <v>269</v>
      </c>
      <c r="C99" s="41" t="s">
        <v>12</v>
      </c>
      <c r="D99" s="42">
        <v>51.75</v>
      </c>
      <c r="E99" s="43" t="s">
        <v>273</v>
      </c>
    </row>
    <row r="100" spans="1:5" x14ac:dyDescent="0.25">
      <c r="A100" s="73" t="s">
        <v>278</v>
      </c>
      <c r="B100" s="36" t="s">
        <v>270</v>
      </c>
      <c r="C100" s="41" t="s">
        <v>64</v>
      </c>
      <c r="D100" s="42">
        <v>5.5</v>
      </c>
      <c r="E100" s="43" t="s">
        <v>274</v>
      </c>
    </row>
    <row r="101" spans="1:5" ht="38.25" x14ac:dyDescent="0.25">
      <c r="A101" s="73" t="s">
        <v>279</v>
      </c>
      <c r="B101" s="36" t="s">
        <v>272</v>
      </c>
      <c r="C101" s="41" t="s">
        <v>64</v>
      </c>
      <c r="D101" s="42">
        <v>5.5</v>
      </c>
      <c r="E101" s="43" t="s">
        <v>275</v>
      </c>
    </row>
    <row r="102" spans="1:5" ht="25.5" x14ac:dyDescent="0.25">
      <c r="A102" s="73" t="s">
        <v>280</v>
      </c>
      <c r="B102" s="59" t="s">
        <v>97</v>
      </c>
      <c r="C102" s="37" t="s">
        <v>64</v>
      </c>
      <c r="D102" s="42">
        <v>4</v>
      </c>
      <c r="E102" s="43" t="s">
        <v>276</v>
      </c>
    </row>
    <row r="103" spans="1:5" x14ac:dyDescent="0.25">
      <c r="A103" s="71" t="s">
        <v>281</v>
      </c>
      <c r="B103" s="62" t="s">
        <v>103</v>
      </c>
      <c r="C103" s="49"/>
      <c r="D103" s="50"/>
      <c r="E103" s="76"/>
    </row>
    <row r="104" spans="1:5" x14ac:dyDescent="0.25">
      <c r="A104" s="45" t="s">
        <v>282</v>
      </c>
      <c r="B104" s="36" t="s">
        <v>172</v>
      </c>
      <c r="C104" s="41" t="s">
        <v>12</v>
      </c>
      <c r="D104" s="46">
        <f>1.5*2.1</f>
        <v>3.1500000000000004</v>
      </c>
      <c r="E104" s="82" t="s">
        <v>293</v>
      </c>
    </row>
    <row r="105" spans="1:5" x14ac:dyDescent="0.25">
      <c r="A105" s="45" t="s">
        <v>294</v>
      </c>
      <c r="B105" s="36" t="s">
        <v>179</v>
      </c>
      <c r="C105" s="41" t="s">
        <v>12</v>
      </c>
      <c r="D105" s="46">
        <f>D104</f>
        <v>3.1500000000000004</v>
      </c>
      <c r="E105" s="82" t="s">
        <v>289</v>
      </c>
    </row>
    <row r="106" spans="1:5" x14ac:dyDescent="0.25">
      <c r="A106" s="45" t="s">
        <v>295</v>
      </c>
      <c r="B106" s="36" t="s">
        <v>285</v>
      </c>
      <c r="C106" s="41" t="s">
        <v>11</v>
      </c>
      <c r="D106" s="73">
        <v>10</v>
      </c>
      <c r="E106" s="139" t="s">
        <v>290</v>
      </c>
    </row>
    <row r="107" spans="1:5" x14ac:dyDescent="0.25">
      <c r="A107" s="73" t="s">
        <v>296</v>
      </c>
      <c r="B107" s="36" t="s">
        <v>283</v>
      </c>
      <c r="C107" s="41" t="s">
        <v>11</v>
      </c>
      <c r="D107" s="73">
        <v>10</v>
      </c>
      <c r="E107" s="140"/>
    </row>
    <row r="108" spans="1:5" ht="25.5" x14ac:dyDescent="0.25">
      <c r="A108" s="73" t="s">
        <v>297</v>
      </c>
      <c r="B108" s="56" t="s">
        <v>287</v>
      </c>
      <c r="C108" s="64" t="s">
        <v>64</v>
      </c>
      <c r="D108" s="46">
        <v>5</v>
      </c>
      <c r="E108" s="82" t="s">
        <v>291</v>
      </c>
    </row>
    <row r="109" spans="1:5" ht="25.5" x14ac:dyDescent="0.25">
      <c r="A109" s="73" t="s">
        <v>298</v>
      </c>
      <c r="B109" s="100" t="s">
        <v>288</v>
      </c>
      <c r="C109" s="101" t="s">
        <v>12</v>
      </c>
      <c r="D109" s="38">
        <v>0.25</v>
      </c>
      <c r="E109" s="102" t="s">
        <v>292</v>
      </c>
    </row>
    <row r="110" spans="1:5" x14ac:dyDescent="0.25">
      <c r="A110" s="71" t="s">
        <v>335</v>
      </c>
      <c r="B110" s="107" t="s">
        <v>299</v>
      </c>
      <c r="C110" s="88"/>
      <c r="D110" s="95"/>
      <c r="E110" s="108"/>
    </row>
    <row r="111" spans="1:5" ht="25.5" x14ac:dyDescent="0.25">
      <c r="A111" s="72" t="s">
        <v>336</v>
      </c>
      <c r="B111" s="103" t="s">
        <v>300</v>
      </c>
      <c r="C111" s="104" t="s">
        <v>12</v>
      </c>
      <c r="D111" s="105">
        <f>'MEMÓRIA PINTURA'!D23-54.7</f>
        <v>554.05250000000001</v>
      </c>
      <c r="E111" s="106" t="s">
        <v>321</v>
      </c>
    </row>
    <row r="112" spans="1:5" ht="51" x14ac:dyDescent="0.25">
      <c r="A112" s="73" t="s">
        <v>338</v>
      </c>
      <c r="B112" s="56" t="s">
        <v>302</v>
      </c>
      <c r="C112" s="64" t="s">
        <v>12</v>
      </c>
      <c r="D112" s="46">
        <f>(54.7*2)+22.7</f>
        <v>132.1</v>
      </c>
      <c r="E112" s="82" t="s">
        <v>320</v>
      </c>
    </row>
    <row r="113" spans="1:5" ht="25.5" x14ac:dyDescent="0.25">
      <c r="A113" s="73" t="s">
        <v>339</v>
      </c>
      <c r="B113" s="56" t="s">
        <v>314</v>
      </c>
      <c r="C113" s="64" t="s">
        <v>12</v>
      </c>
      <c r="D113" s="46">
        <f>(0.2*0.2*3*6)+(30.8)</f>
        <v>31.52</v>
      </c>
      <c r="E113" s="82" t="s">
        <v>315</v>
      </c>
    </row>
    <row r="114" spans="1:5" x14ac:dyDescent="0.25">
      <c r="A114" s="71" t="s">
        <v>340</v>
      </c>
      <c r="B114" s="62" t="s">
        <v>316</v>
      </c>
      <c r="C114" s="49"/>
      <c r="D114" s="93"/>
      <c r="E114" s="99"/>
    </row>
    <row r="115" spans="1:5" ht="25.5" x14ac:dyDescent="0.25">
      <c r="A115" s="73" t="s">
        <v>341</v>
      </c>
      <c r="B115" s="56" t="s">
        <v>301</v>
      </c>
      <c r="C115" s="64" t="s">
        <v>12</v>
      </c>
      <c r="D115" s="65">
        <f>23*0.8*2.1*2</f>
        <v>77.280000000000015</v>
      </c>
      <c r="E115" s="82" t="s">
        <v>333</v>
      </c>
    </row>
    <row r="116" spans="1:5" x14ac:dyDescent="0.25">
      <c r="A116" s="73" t="s">
        <v>342</v>
      </c>
      <c r="B116" s="56" t="s">
        <v>318</v>
      </c>
      <c r="C116" s="64" t="s">
        <v>12</v>
      </c>
      <c r="D116" s="65">
        <f>'MEMÓRIA PINTURA'!C56-D115</f>
        <v>897.11999999999966</v>
      </c>
      <c r="E116" s="82" t="s">
        <v>334</v>
      </c>
    </row>
    <row r="117" spans="1:5" ht="25.5" x14ac:dyDescent="0.25">
      <c r="A117" s="73" t="s">
        <v>337</v>
      </c>
      <c r="B117" s="56" t="s">
        <v>331</v>
      </c>
      <c r="C117" s="64" t="s">
        <v>12</v>
      </c>
      <c r="D117" s="65">
        <f>'MEMÓRIA PINTURA'!B87</f>
        <v>317.25000000000006</v>
      </c>
      <c r="E117" s="82" t="s">
        <v>332</v>
      </c>
    </row>
  </sheetData>
  <mergeCells count="3">
    <mergeCell ref="E69:E70"/>
    <mergeCell ref="E84:E86"/>
    <mergeCell ref="E106:E107"/>
  </mergeCells>
  <conditionalFormatting sqref="A3:A117">
    <cfRule type="expression" dxfId="109" priority="9">
      <formula>IF($L3="I",TRUE,FALSE)</formula>
    </cfRule>
    <cfRule type="expression" dxfId="108" priority="10">
      <formula>IF($L3="T",TRUE,FALSE)</formula>
    </cfRule>
  </conditionalFormatting>
  <conditionalFormatting sqref="B3:B4">
    <cfRule type="expression" dxfId="107" priority="294">
      <formula>IF($L3="T",TRUE,FALSE)</formula>
    </cfRule>
    <cfRule type="expression" dxfId="106" priority="293">
      <formula>IF($L3="I",TRUE,FALSE)</formula>
    </cfRule>
  </conditionalFormatting>
  <conditionalFormatting sqref="B20">
    <cfRule type="expression" dxfId="105" priority="278">
      <formula>IF($L20="T",TRUE,FALSE)</formula>
    </cfRule>
    <cfRule type="expression" dxfId="104" priority="277">
      <formula>IF($L20="I",TRUE,FALSE)</formula>
    </cfRule>
  </conditionalFormatting>
  <conditionalFormatting sqref="B53">
    <cfRule type="expression" dxfId="103" priority="220">
      <formula>IF($L53="T",TRUE,FALSE)</formula>
    </cfRule>
    <cfRule type="expression" dxfId="102" priority="219">
      <formula>IF($L53="I",TRUE,FALSE)</formula>
    </cfRule>
  </conditionalFormatting>
  <conditionalFormatting sqref="B88:B94">
    <cfRule type="expression" dxfId="101" priority="153">
      <formula>IF($L88="I",TRUE,FALSE)</formula>
    </cfRule>
    <cfRule type="expression" dxfId="100" priority="154">
      <formula>IF($L88="T",TRUE,FALSE)</formula>
    </cfRule>
  </conditionalFormatting>
  <conditionalFormatting sqref="B108:B109">
    <cfRule type="expression" dxfId="99" priority="123">
      <formula>IF($L108="I",TRUE,FALSE)</formula>
    </cfRule>
    <cfRule type="expression" dxfId="98" priority="124">
      <formula>IF($L108="T",TRUE,FALSE)</formula>
    </cfRule>
  </conditionalFormatting>
  <conditionalFormatting sqref="B111:B113">
    <cfRule type="expression" dxfId="97" priority="107">
      <formula>IF($L111="I",TRUE,FALSE)</formula>
    </cfRule>
    <cfRule type="expression" dxfId="96" priority="108">
      <formula>IF($L111="T",TRUE,FALSE)</formula>
    </cfRule>
  </conditionalFormatting>
  <conditionalFormatting sqref="B115:B117">
    <cfRule type="expression" dxfId="95" priority="94">
      <formula>IF($L115="T",TRUE,FALSE)</formula>
    </cfRule>
    <cfRule type="expression" dxfId="94" priority="93">
      <formula>IF($L115="I",TRUE,FALSE)</formula>
    </cfRule>
  </conditionalFormatting>
  <conditionalFormatting sqref="B10:C10">
    <cfRule type="expression" dxfId="93" priority="288">
      <formula>IF($L10="T",TRUE,FALSE)</formula>
    </cfRule>
    <cfRule type="expression" dxfId="92" priority="287">
      <formula>IF($L10="I",TRUE,FALSE)</formula>
    </cfRule>
  </conditionalFormatting>
  <conditionalFormatting sqref="B12:C12">
    <cfRule type="expression" dxfId="91" priority="284">
      <formula>IF($L12="T",TRUE,FALSE)</formula>
    </cfRule>
    <cfRule type="expression" dxfId="90" priority="283">
      <formula>IF($L12="I",TRUE,FALSE)</formula>
    </cfRule>
  </conditionalFormatting>
  <conditionalFormatting sqref="B21:C22">
    <cfRule type="expression" dxfId="89" priority="272">
      <formula>IF($L21="T",TRUE,FALSE)</formula>
    </cfRule>
    <cfRule type="expression" dxfId="88" priority="271">
      <formula>IF($L21="I",TRUE,FALSE)</formula>
    </cfRule>
  </conditionalFormatting>
  <conditionalFormatting sqref="B24:C24">
    <cfRule type="expression" dxfId="87" priority="268">
      <formula>IF($L24="T",TRUE,FALSE)</formula>
    </cfRule>
    <cfRule type="expression" dxfId="86" priority="267">
      <formula>IF($L24="I",TRUE,FALSE)</formula>
    </cfRule>
  </conditionalFormatting>
  <conditionalFormatting sqref="B28:C28">
    <cfRule type="expression" dxfId="85" priority="264">
      <formula>IF($L28="T",TRUE,FALSE)</formula>
    </cfRule>
    <cfRule type="expression" dxfId="84" priority="263">
      <formula>IF($L28="I",TRUE,FALSE)</formula>
    </cfRule>
  </conditionalFormatting>
  <conditionalFormatting sqref="B37:C40">
    <cfRule type="expression" dxfId="83" priority="19">
      <formula>IF($L37="I",TRUE,FALSE)</formula>
    </cfRule>
    <cfRule type="expression" dxfId="82" priority="20">
      <formula>IF($L37="T",TRUE,FALSE)</formula>
    </cfRule>
  </conditionalFormatting>
  <conditionalFormatting sqref="B48:C49">
    <cfRule type="expression" dxfId="81" priority="234">
      <formula>IF($L48="T",TRUE,FALSE)</formula>
    </cfRule>
    <cfRule type="expression" dxfId="80" priority="233">
      <formula>IF($L48="I",TRUE,FALSE)</formula>
    </cfRule>
  </conditionalFormatting>
  <conditionalFormatting sqref="B54:C55">
    <cfRule type="expression" dxfId="79" priority="216">
      <formula>IF($L54="T",TRUE,FALSE)</formula>
    </cfRule>
    <cfRule type="expression" dxfId="78" priority="215">
      <formula>IF($L54="I",TRUE,FALSE)</formula>
    </cfRule>
  </conditionalFormatting>
  <conditionalFormatting sqref="B64:C66">
    <cfRule type="expression" dxfId="77" priority="186">
      <formula>IF($L64="T",TRUE,FALSE)</formula>
    </cfRule>
    <cfRule type="expression" dxfId="76" priority="185">
      <formula>IF($L64="I",TRUE,FALSE)</formula>
    </cfRule>
  </conditionalFormatting>
  <conditionalFormatting sqref="B68:C70">
    <cfRule type="expression" dxfId="75" priority="190">
      <formula>IF($L68="T",TRUE,FALSE)</formula>
    </cfRule>
    <cfRule type="expression" dxfId="74" priority="189">
      <formula>IF($L68="I",TRUE,FALSE)</formula>
    </cfRule>
  </conditionalFormatting>
  <conditionalFormatting sqref="B75:C78">
    <cfRule type="expression" dxfId="73" priority="169">
      <formula>IF($L75="I",TRUE,FALSE)</formula>
    </cfRule>
    <cfRule type="expression" dxfId="72" priority="170">
      <formula>IF($L75="T",TRUE,FALSE)</formula>
    </cfRule>
  </conditionalFormatting>
  <conditionalFormatting sqref="B84:C85">
    <cfRule type="expression" dxfId="71" priority="155">
      <formula>IF($L84="I",TRUE,FALSE)</formula>
    </cfRule>
    <cfRule type="expression" dxfId="70" priority="156">
      <formula>IF($L84="T",TRUE,FALSE)</formula>
    </cfRule>
  </conditionalFormatting>
  <conditionalFormatting sqref="B97:C97">
    <cfRule type="expression" dxfId="69" priority="147">
      <formula>IF($L97="I",TRUE,FALSE)</formula>
    </cfRule>
    <cfRule type="expression" dxfId="68" priority="148">
      <formula>IF($L97="T",TRUE,FALSE)</formula>
    </cfRule>
  </conditionalFormatting>
  <conditionalFormatting sqref="B99:C101">
    <cfRule type="expression" dxfId="67" priority="133">
      <formula>IF($L99="I",TRUE,FALSE)</formula>
    </cfRule>
    <cfRule type="expression" dxfId="66" priority="134">
      <formula>IF($L99="T",TRUE,FALSE)</formula>
    </cfRule>
  </conditionalFormatting>
  <conditionalFormatting sqref="B104:C107">
    <cfRule type="expression" dxfId="65" priority="115">
      <formula>IF($L104="I",TRUE,FALSE)</formula>
    </cfRule>
    <cfRule type="expression" dxfId="64" priority="116">
      <formula>IF($L104="T",TRUE,FALSE)</formula>
    </cfRule>
  </conditionalFormatting>
  <conditionalFormatting sqref="C5:C7">
    <cfRule type="expression" dxfId="63" priority="298">
      <formula>IF($L5="T",TRUE,FALSE)</formula>
    </cfRule>
    <cfRule type="expression" dxfId="62" priority="297">
      <formula>IF($L5="I",TRUE,FALSE)</formula>
    </cfRule>
  </conditionalFormatting>
  <conditionalFormatting sqref="C8:C9">
    <cfRule type="expression" dxfId="61" priority="292">
      <formula>IF($H8="T",TRUE,FALSE)</formula>
    </cfRule>
    <cfRule type="expression" dxfId="60" priority="291">
      <formula>IF($H8="I",TRUE,FALSE)</formula>
    </cfRule>
  </conditionalFormatting>
  <conditionalFormatting sqref="C11">
    <cfRule type="expression" dxfId="59" priority="290">
      <formula>IF($L11="T",TRUE,FALSE)</formula>
    </cfRule>
    <cfRule type="expression" dxfId="58" priority="289">
      <formula>IF($L11="I",TRUE,FALSE)</formula>
    </cfRule>
  </conditionalFormatting>
  <conditionalFormatting sqref="C13:C20">
    <cfRule type="expression" dxfId="57" priority="280">
      <formula>IF($L13="T",TRUE,FALSE)</formula>
    </cfRule>
    <cfRule type="expression" dxfId="56" priority="279">
      <formula>IF($L13="I",TRUE,FALSE)</formula>
    </cfRule>
  </conditionalFormatting>
  <conditionalFormatting sqref="C23">
    <cfRule type="expression" dxfId="55" priority="275">
      <formula>IF($L23="I",TRUE,FALSE)</formula>
    </cfRule>
    <cfRule type="expression" dxfId="54" priority="276">
      <formula>IF($L23="T",TRUE,FALSE)</formula>
    </cfRule>
  </conditionalFormatting>
  <conditionalFormatting sqref="C25:C27">
    <cfRule type="expression" dxfId="53" priority="270">
      <formula>IF($L25="T",TRUE,FALSE)</formula>
    </cfRule>
    <cfRule type="expression" dxfId="52" priority="269">
      <formula>IF($L25="I",TRUE,FALSE)</formula>
    </cfRule>
  </conditionalFormatting>
  <conditionalFormatting sqref="C29:C31">
    <cfRule type="expression" dxfId="51" priority="260">
      <formula>IF($L29="T",TRUE,FALSE)</formula>
    </cfRule>
    <cfRule type="expression" dxfId="50" priority="259">
      <formula>IF($L29="I",TRUE,FALSE)</formula>
    </cfRule>
  </conditionalFormatting>
  <conditionalFormatting sqref="C34:C36">
    <cfRule type="expression" dxfId="49" priority="254">
      <formula>IF($L34="T",TRUE,FALSE)</formula>
    </cfRule>
    <cfRule type="expression" dxfId="48" priority="253">
      <formula>IF($L34="I",TRUE,FALSE)</formula>
    </cfRule>
  </conditionalFormatting>
  <conditionalFormatting sqref="C42:C47">
    <cfRule type="expression" dxfId="47" priority="236">
      <formula>IF($L42="T",TRUE,FALSE)</formula>
    </cfRule>
    <cfRule type="expression" dxfId="46" priority="235">
      <formula>IF($L42="I",TRUE,FALSE)</formula>
    </cfRule>
  </conditionalFormatting>
  <conditionalFormatting sqref="C50:C51">
    <cfRule type="expression" dxfId="45" priority="16">
      <formula>IF($H50="T",TRUE,FALSE)</formula>
    </cfRule>
    <cfRule type="expression" dxfId="44" priority="15">
      <formula>IF($H50="I",TRUE,FALSE)</formula>
    </cfRule>
  </conditionalFormatting>
  <conditionalFormatting sqref="C52:C53">
    <cfRule type="expression" dxfId="43" priority="222">
      <formula>IF($L52="T",TRUE,FALSE)</formula>
    </cfRule>
    <cfRule type="expression" dxfId="42" priority="221">
      <formula>IF($L52="I",TRUE,FALSE)</formula>
    </cfRule>
  </conditionalFormatting>
  <conditionalFormatting sqref="C56:C63">
    <cfRule type="expression" dxfId="41" priority="199">
      <formula>IF($L56="I",TRUE,FALSE)</formula>
    </cfRule>
    <cfRule type="expression" dxfId="40" priority="200">
      <formula>IF($L56="T",TRUE,FALSE)</formula>
    </cfRule>
  </conditionalFormatting>
  <conditionalFormatting sqref="C67">
    <cfRule type="expression" dxfId="39" priority="195">
      <formula>IF($L67="I",TRUE,FALSE)</formula>
    </cfRule>
    <cfRule type="expression" dxfId="38" priority="196">
      <formula>IF($L67="T",TRUE,FALSE)</formula>
    </cfRule>
  </conditionalFormatting>
  <conditionalFormatting sqref="C71:C74">
    <cfRule type="expression" dxfId="37" priority="174">
      <formula>IF($L71="T",TRUE,FALSE)</formula>
    </cfRule>
    <cfRule type="expression" dxfId="36" priority="173">
      <formula>IF($L71="I",TRUE,FALSE)</formula>
    </cfRule>
  </conditionalFormatting>
  <conditionalFormatting sqref="C79:C83">
    <cfRule type="expression" dxfId="35" priority="161">
      <formula>IF($L79="I",TRUE,FALSE)</formula>
    </cfRule>
    <cfRule type="expression" dxfId="34" priority="162">
      <formula>IF($L79="T",TRUE,FALSE)</formula>
    </cfRule>
  </conditionalFormatting>
  <conditionalFormatting sqref="C86:C87">
    <cfRule type="expression" dxfId="33" priority="151">
      <formula>IF($L86="I",TRUE,FALSE)</formula>
    </cfRule>
    <cfRule type="expression" dxfId="32" priority="152">
      <formula>IF($L86="T",TRUE,FALSE)</formula>
    </cfRule>
  </conditionalFormatting>
  <conditionalFormatting sqref="C95">
    <cfRule type="expression" dxfId="31" priority="150">
      <formula>IF($L95="T",TRUE,FALSE)</formula>
    </cfRule>
    <cfRule type="expression" dxfId="30" priority="149">
      <formula>IF($L95="I",TRUE,FALSE)</formula>
    </cfRule>
  </conditionalFormatting>
  <conditionalFormatting sqref="C98">
    <cfRule type="expression" dxfId="29" priority="137">
      <formula>IF($L98="I",TRUE,FALSE)</formula>
    </cfRule>
    <cfRule type="expression" dxfId="28" priority="138">
      <formula>IF($L98="T",TRUE,FALSE)</formula>
    </cfRule>
  </conditionalFormatting>
  <conditionalFormatting sqref="C102:C103">
    <cfRule type="expression" dxfId="27" priority="130">
      <formula>IF($L102="T",TRUE,FALSE)</formula>
    </cfRule>
    <cfRule type="expression" dxfId="26" priority="129">
      <formula>IF($L102="I",TRUE,FALSE)</formula>
    </cfRule>
  </conditionalFormatting>
  <conditionalFormatting sqref="C110">
    <cfRule type="expression" dxfId="25" priority="114">
      <formula>IF($L110="T",TRUE,FALSE)</formula>
    </cfRule>
    <cfRule type="expression" dxfId="24" priority="113">
      <formula>IF($L110="I",TRUE,FALSE)</formula>
    </cfRule>
  </conditionalFormatting>
  <conditionalFormatting sqref="C114">
    <cfRule type="expression" dxfId="23" priority="99">
      <formula>IF($L114="I",TRUE,FALSE)</formula>
    </cfRule>
    <cfRule type="expression" dxfId="22" priority="100">
      <formula>IF($L114="T",TRUE,FALSE)</formula>
    </cfRule>
  </conditionalFormatting>
  <conditionalFormatting sqref="C3:E4 D31:E31 C32:E32 D70 D81:E84 D85:D86 D109">
    <cfRule type="expression" dxfId="21" priority="537">
      <formula>IF($H3="T",TRUE,FALSE)</formula>
    </cfRule>
    <cfRule type="expression" dxfId="20" priority="536">
      <formula>IF($H3="I",TRUE,FALSE)</formula>
    </cfRule>
  </conditionalFormatting>
  <conditionalFormatting sqref="C41:E41">
    <cfRule type="expression" dxfId="19" priority="489">
      <formula>IF($H41="I",TRUE,FALSE)</formula>
    </cfRule>
    <cfRule type="expression" dxfId="18" priority="490">
      <formula>IF($H41="T",TRUE,FALSE)</formula>
    </cfRule>
  </conditionalFormatting>
  <conditionalFormatting sqref="D107">
    <cfRule type="expression" dxfId="17" priority="117">
      <formula>IF($H107="I",TRUE,FALSE)</formula>
    </cfRule>
    <cfRule type="expression" dxfId="16" priority="118">
      <formula>IF($H107="T",TRUE,FALSE)</formula>
    </cfRule>
  </conditionalFormatting>
  <conditionalFormatting sqref="D5:E28">
    <cfRule type="expression" dxfId="15" priority="307">
      <formula>IF($H5="I",TRUE,FALSE)</formula>
    </cfRule>
    <cfRule type="expression" dxfId="14" priority="308">
      <formula>IF($H5="T",TRUE,FALSE)</formula>
    </cfRule>
  </conditionalFormatting>
  <conditionalFormatting sqref="D33:E40">
    <cfRule type="expression" dxfId="13" priority="494">
      <formula>IF($H33="I",TRUE,FALSE)</formula>
    </cfRule>
    <cfRule type="expression" dxfId="12" priority="495">
      <formula>IF($H33="T",TRUE,FALSE)</formula>
    </cfRule>
  </conditionalFormatting>
  <conditionalFormatting sqref="D42:E43">
    <cfRule type="expression" dxfId="11" priority="527">
      <formula>IF($H42="I",TRUE,FALSE)</formula>
    </cfRule>
    <cfRule type="expression" dxfId="10" priority="528">
      <formula>IF($H42="T",TRUE,FALSE)</formula>
    </cfRule>
  </conditionalFormatting>
  <conditionalFormatting sqref="D45:E69">
    <cfRule type="expression" dxfId="9" priority="18">
      <formula>IF($H45="T",TRUE,FALSE)</formula>
    </cfRule>
    <cfRule type="expression" dxfId="8" priority="17">
      <formula>IF($H45="I",TRUE,FALSE)</formula>
    </cfRule>
  </conditionalFormatting>
  <conditionalFormatting sqref="D71:E79">
    <cfRule type="expression" dxfId="7" priority="182">
      <formula>IF($H71="T",TRUE,FALSE)</formula>
    </cfRule>
    <cfRule type="expression" dxfId="6" priority="181">
      <formula>IF($H71="I",TRUE,FALSE)</formula>
    </cfRule>
  </conditionalFormatting>
  <conditionalFormatting sqref="D87:E92">
    <cfRule type="expression" dxfId="5" priority="139">
      <formula>IF($H87="I",TRUE,FALSE)</formula>
    </cfRule>
    <cfRule type="expression" dxfId="4" priority="140">
      <formula>IF($H87="T",TRUE,FALSE)</formula>
    </cfRule>
  </conditionalFormatting>
  <conditionalFormatting sqref="D98:E103">
    <cfRule type="expression" dxfId="3" priority="367">
      <formula>IF($H98="T",TRUE,FALSE)</formula>
    </cfRule>
    <cfRule type="expression" dxfId="2" priority="366">
      <formula>IF($H98="I",TRUE,FALSE)</formula>
    </cfRule>
  </conditionalFormatting>
  <conditionalFormatting sqref="D106:E106">
    <cfRule type="expression" dxfId="1" priority="120">
      <formula>IF($H106="T",TRUE,FALSE)</formula>
    </cfRule>
    <cfRule type="expression" dxfId="0" priority="119">
      <formula>IF($H106="I",TRUE,FALSE)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75" fitToHeight="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7"/>
  <sheetViews>
    <sheetView topLeftCell="A69" workbookViewId="0">
      <selection activeCell="G87" sqref="G87"/>
    </sheetView>
  </sheetViews>
  <sheetFormatPr defaultRowHeight="15" x14ac:dyDescent="0.25"/>
  <cols>
    <col min="1" max="1" width="14.7109375" customWidth="1"/>
    <col min="2" max="2" width="11.85546875" style="109" customWidth="1"/>
    <col min="3" max="3" width="11.140625" style="109" customWidth="1"/>
    <col min="4" max="5" width="9.140625" style="109"/>
  </cols>
  <sheetData>
    <row r="1" spans="1:6" x14ac:dyDescent="0.25">
      <c r="A1" s="112" t="s">
        <v>303</v>
      </c>
    </row>
    <row r="2" spans="1:6" x14ac:dyDescent="0.25">
      <c r="A2" s="109">
        <v>36</v>
      </c>
      <c r="B2" s="109" t="s">
        <v>304</v>
      </c>
      <c r="C2" s="109">
        <v>4.2</v>
      </c>
      <c r="D2" s="109" t="s">
        <v>305</v>
      </c>
      <c r="E2" s="109">
        <f>C2*A2</f>
        <v>151.20000000000002</v>
      </c>
      <c r="F2" s="109" t="s">
        <v>306</v>
      </c>
    </row>
    <row r="4" spans="1:6" x14ac:dyDescent="0.25">
      <c r="A4" s="112" t="s">
        <v>307</v>
      </c>
    </row>
    <row r="5" spans="1:6" x14ac:dyDescent="0.25">
      <c r="A5" s="109">
        <v>15.6</v>
      </c>
      <c r="B5" s="109" t="s">
        <v>304</v>
      </c>
      <c r="C5" s="109">
        <v>3.15</v>
      </c>
      <c r="D5" s="109" t="s">
        <v>305</v>
      </c>
      <c r="E5" s="109">
        <f>C5*A5</f>
        <v>49.14</v>
      </c>
      <c r="F5" s="109" t="s">
        <v>306</v>
      </c>
    </row>
    <row r="6" spans="1:6" x14ac:dyDescent="0.25">
      <c r="A6" s="109">
        <v>56.3</v>
      </c>
      <c r="B6" s="109" t="s">
        <v>304</v>
      </c>
      <c r="C6" s="109">
        <v>3.15</v>
      </c>
      <c r="D6" s="109" t="s">
        <v>305</v>
      </c>
      <c r="E6" s="109">
        <f>C6*A6</f>
        <v>177.345</v>
      </c>
      <c r="F6" s="109" t="s">
        <v>306</v>
      </c>
    </row>
    <row r="7" spans="1:6" x14ac:dyDescent="0.25">
      <c r="A7" s="110" t="s">
        <v>310</v>
      </c>
      <c r="E7" s="109">
        <v>60.1</v>
      </c>
      <c r="F7" s="109" t="s">
        <v>306</v>
      </c>
    </row>
    <row r="8" spans="1:6" x14ac:dyDescent="0.25">
      <c r="A8" s="110" t="s">
        <v>311</v>
      </c>
      <c r="C8" s="109">
        <f>17.2+61.1</f>
        <v>78.3</v>
      </c>
      <c r="D8" s="109">
        <v>0.2</v>
      </c>
      <c r="E8" s="109">
        <f>D8*C8</f>
        <v>15.66</v>
      </c>
      <c r="F8" s="109" t="s">
        <v>306</v>
      </c>
    </row>
    <row r="10" spans="1:6" x14ac:dyDescent="0.25">
      <c r="A10" s="112" t="s">
        <v>308</v>
      </c>
    </row>
    <row r="11" spans="1:6" x14ac:dyDescent="0.25">
      <c r="A11" s="109">
        <v>4.8</v>
      </c>
      <c r="B11" s="109" t="s">
        <v>304</v>
      </c>
      <c r="C11" s="109">
        <v>3.5</v>
      </c>
      <c r="D11" s="109" t="s">
        <v>305</v>
      </c>
      <c r="E11" s="109">
        <f>C11*A11</f>
        <v>16.8</v>
      </c>
      <c r="F11" s="109" t="s">
        <v>306</v>
      </c>
    </row>
    <row r="12" spans="1:6" x14ac:dyDescent="0.25">
      <c r="A12" s="109">
        <v>4.5999999999999996</v>
      </c>
      <c r="B12" s="109" t="s">
        <v>304</v>
      </c>
      <c r="C12" s="109">
        <v>3.5</v>
      </c>
      <c r="D12" s="109" t="s">
        <v>305</v>
      </c>
      <c r="E12" s="109">
        <f>C12*A12</f>
        <v>16.099999999999998</v>
      </c>
      <c r="F12" s="109" t="s">
        <v>306</v>
      </c>
    </row>
    <row r="13" spans="1:6" x14ac:dyDescent="0.25">
      <c r="A13" s="109">
        <v>38.049999999999997</v>
      </c>
      <c r="B13" s="109" t="s">
        <v>306</v>
      </c>
      <c r="C13" s="109">
        <v>2</v>
      </c>
      <c r="D13" s="109" t="s">
        <v>309</v>
      </c>
      <c r="E13" s="109">
        <f>C13*A13</f>
        <v>76.099999999999994</v>
      </c>
      <c r="F13" s="109" t="s">
        <v>306</v>
      </c>
    </row>
    <row r="14" spans="1:6" x14ac:dyDescent="0.25">
      <c r="A14" s="110" t="s">
        <v>310</v>
      </c>
      <c r="E14" s="109">
        <f>(4.8+4.6)*0.8</f>
        <v>7.52</v>
      </c>
      <c r="F14" s="109" t="s">
        <v>306</v>
      </c>
    </row>
    <row r="15" spans="1:6" x14ac:dyDescent="0.25">
      <c r="A15" s="110" t="s">
        <v>311</v>
      </c>
      <c r="C15" s="109">
        <f>4.8+4.6</f>
        <v>9.3999999999999986</v>
      </c>
      <c r="D15" s="109">
        <v>0.2</v>
      </c>
      <c r="E15" s="109">
        <f>D15*C15</f>
        <v>1.88</v>
      </c>
      <c r="F15" s="109" t="s">
        <v>306</v>
      </c>
    </row>
    <row r="18" spans="1:8" x14ac:dyDescent="0.25">
      <c r="A18" s="112" t="s">
        <v>312</v>
      </c>
    </row>
    <row r="19" spans="1:8" x14ac:dyDescent="0.25">
      <c r="A19">
        <f>28.7+10.15</f>
        <v>38.85</v>
      </c>
      <c r="B19" s="109" t="s">
        <v>304</v>
      </c>
      <c r="C19" s="109">
        <v>0.4</v>
      </c>
      <c r="D19" s="109" t="s">
        <v>305</v>
      </c>
      <c r="E19" s="109">
        <v>2</v>
      </c>
      <c r="F19" t="s">
        <v>309</v>
      </c>
      <c r="G19">
        <f>E19*C19*A19</f>
        <v>31.080000000000002</v>
      </c>
      <c r="H19" t="s">
        <v>306</v>
      </c>
    </row>
    <row r="20" spans="1:8" x14ac:dyDescent="0.25">
      <c r="A20">
        <f>28.7+10.15</f>
        <v>38.85</v>
      </c>
      <c r="B20" s="109" t="s">
        <v>304</v>
      </c>
      <c r="C20" s="109">
        <v>0.15</v>
      </c>
      <c r="D20" s="109" t="s">
        <v>313</v>
      </c>
      <c r="G20" s="111">
        <f>C20*A20</f>
        <v>5.8274999999999997</v>
      </c>
      <c r="H20" t="s">
        <v>306</v>
      </c>
    </row>
    <row r="23" spans="1:8" x14ac:dyDescent="0.25">
      <c r="A23" s="112" t="s">
        <v>319</v>
      </c>
      <c r="D23" s="113">
        <f>G20+G19+E15+E14+E13+E12+E11+E8+E7+E6+E5+E2</f>
        <v>608.75250000000005</v>
      </c>
      <c r="E23" s="114" t="s">
        <v>12</v>
      </c>
    </row>
    <row r="26" spans="1:8" x14ac:dyDescent="0.25">
      <c r="A26" s="112" t="s">
        <v>316</v>
      </c>
    </row>
    <row r="28" spans="1:8" x14ac:dyDescent="0.25">
      <c r="A28" t="s">
        <v>322</v>
      </c>
      <c r="B28" s="109">
        <v>57.4</v>
      </c>
      <c r="C28" s="109" t="s">
        <v>304</v>
      </c>
      <c r="D28" s="109">
        <v>3</v>
      </c>
      <c r="E28" s="109" t="s">
        <v>305</v>
      </c>
      <c r="F28">
        <f>D28*B28</f>
        <v>172.2</v>
      </c>
      <c r="G28" t="s">
        <v>306</v>
      </c>
    </row>
    <row r="29" spans="1:8" x14ac:dyDescent="0.25">
      <c r="A29" t="s">
        <v>323</v>
      </c>
      <c r="B29" s="109">
        <v>11.6</v>
      </c>
      <c r="C29" s="109" t="s">
        <v>304</v>
      </c>
      <c r="D29" s="109">
        <v>3</v>
      </c>
      <c r="E29" s="109" t="s">
        <v>305</v>
      </c>
      <c r="F29">
        <f t="shared" ref="F29:F31" si="0">D29*B29</f>
        <v>34.799999999999997</v>
      </c>
      <c r="G29" t="s">
        <v>306</v>
      </c>
    </row>
    <row r="30" spans="1:8" x14ac:dyDescent="0.25">
      <c r="B30" s="109">
        <v>12.2</v>
      </c>
      <c r="C30" s="109" t="s">
        <v>304</v>
      </c>
      <c r="D30" s="109">
        <v>3</v>
      </c>
      <c r="E30" s="109" t="s">
        <v>305</v>
      </c>
      <c r="F30">
        <f t="shared" si="0"/>
        <v>36.599999999999994</v>
      </c>
      <c r="G30" t="s">
        <v>306</v>
      </c>
    </row>
    <row r="31" spans="1:8" x14ac:dyDescent="0.25">
      <c r="B31" s="109">
        <v>12.2</v>
      </c>
      <c r="C31" s="109" t="s">
        <v>304</v>
      </c>
      <c r="D31" s="109">
        <v>3</v>
      </c>
      <c r="E31" s="109" t="s">
        <v>305</v>
      </c>
      <c r="F31">
        <f t="shared" si="0"/>
        <v>36.599999999999994</v>
      </c>
      <c r="G31" t="s">
        <v>306</v>
      </c>
    </row>
    <row r="32" spans="1:8" x14ac:dyDescent="0.25">
      <c r="A32" t="s">
        <v>324</v>
      </c>
      <c r="B32" s="109">
        <v>9</v>
      </c>
      <c r="C32" s="109" t="s">
        <v>304</v>
      </c>
      <c r="D32" s="109">
        <v>1.5</v>
      </c>
      <c r="E32" s="109" t="s">
        <v>305</v>
      </c>
      <c r="F32">
        <f t="shared" ref="F32" si="1">D32*B32</f>
        <v>13.5</v>
      </c>
      <c r="G32" t="s">
        <v>306</v>
      </c>
    </row>
    <row r="33" spans="1:7" x14ac:dyDescent="0.25">
      <c r="B33" s="109">
        <v>10.6</v>
      </c>
      <c r="C33" s="109" t="s">
        <v>304</v>
      </c>
      <c r="D33" s="109">
        <v>3</v>
      </c>
      <c r="E33" s="109" t="s">
        <v>305</v>
      </c>
      <c r="F33">
        <f t="shared" ref="F33:F45" si="2">D33*B33</f>
        <v>31.799999999999997</v>
      </c>
      <c r="G33" t="s">
        <v>306</v>
      </c>
    </row>
    <row r="34" spans="1:7" x14ac:dyDescent="0.25">
      <c r="B34" s="109">
        <v>15.1</v>
      </c>
      <c r="C34" s="109" t="s">
        <v>304</v>
      </c>
      <c r="D34" s="109">
        <v>3</v>
      </c>
      <c r="E34" s="109" t="s">
        <v>305</v>
      </c>
      <c r="F34">
        <f t="shared" si="2"/>
        <v>45.3</v>
      </c>
      <c r="G34" t="s">
        <v>306</v>
      </c>
    </row>
    <row r="35" spans="1:7" x14ac:dyDescent="0.25">
      <c r="B35" s="109">
        <v>9.1</v>
      </c>
      <c r="C35" s="109" t="s">
        <v>304</v>
      </c>
      <c r="D35" s="109">
        <v>3</v>
      </c>
      <c r="E35" s="109" t="s">
        <v>305</v>
      </c>
      <c r="F35">
        <f t="shared" si="2"/>
        <v>27.299999999999997</v>
      </c>
      <c r="G35" t="s">
        <v>306</v>
      </c>
    </row>
    <row r="36" spans="1:7" x14ac:dyDescent="0.25">
      <c r="B36" s="109">
        <v>14.9</v>
      </c>
      <c r="C36" s="109" t="s">
        <v>304</v>
      </c>
      <c r="D36" s="109">
        <v>3</v>
      </c>
      <c r="E36" s="109" t="s">
        <v>305</v>
      </c>
      <c r="F36">
        <f t="shared" si="2"/>
        <v>44.7</v>
      </c>
      <c r="G36" t="s">
        <v>306</v>
      </c>
    </row>
    <row r="37" spans="1:7" x14ac:dyDescent="0.25">
      <c r="B37" s="109">
        <v>10.6</v>
      </c>
      <c r="C37" s="109" t="s">
        <v>304</v>
      </c>
      <c r="D37" s="109">
        <v>3</v>
      </c>
      <c r="E37" s="109" t="s">
        <v>305</v>
      </c>
      <c r="F37">
        <f t="shared" si="2"/>
        <v>31.799999999999997</v>
      </c>
      <c r="G37" t="s">
        <v>306</v>
      </c>
    </row>
    <row r="38" spans="1:7" x14ac:dyDescent="0.25">
      <c r="B38" s="109">
        <v>14.9</v>
      </c>
      <c r="C38" s="109" t="s">
        <v>304</v>
      </c>
      <c r="D38" s="109">
        <v>3</v>
      </c>
      <c r="E38" s="109" t="s">
        <v>305</v>
      </c>
      <c r="F38">
        <f t="shared" si="2"/>
        <v>44.7</v>
      </c>
      <c r="G38" t="s">
        <v>306</v>
      </c>
    </row>
    <row r="39" spans="1:7" x14ac:dyDescent="0.25">
      <c r="B39" s="109">
        <v>12.2</v>
      </c>
      <c r="C39" s="109" t="s">
        <v>304</v>
      </c>
      <c r="D39" s="109">
        <v>3</v>
      </c>
      <c r="E39" s="109" t="s">
        <v>305</v>
      </c>
      <c r="F39">
        <f t="shared" si="2"/>
        <v>36.599999999999994</v>
      </c>
      <c r="G39" t="s">
        <v>306</v>
      </c>
    </row>
    <row r="40" spans="1:7" x14ac:dyDescent="0.25">
      <c r="B40" s="109">
        <v>11.6</v>
      </c>
      <c r="C40" s="109" t="s">
        <v>304</v>
      </c>
      <c r="D40" s="109">
        <v>3</v>
      </c>
      <c r="E40" s="109" t="s">
        <v>305</v>
      </c>
      <c r="F40">
        <f t="shared" si="2"/>
        <v>34.799999999999997</v>
      </c>
      <c r="G40" t="s">
        <v>306</v>
      </c>
    </row>
    <row r="41" spans="1:7" x14ac:dyDescent="0.25">
      <c r="A41" t="s">
        <v>324</v>
      </c>
      <c r="B41" s="109">
        <v>9</v>
      </c>
      <c r="C41" s="109" t="s">
        <v>304</v>
      </c>
      <c r="D41" s="109">
        <v>1.5</v>
      </c>
      <c r="E41" s="109" t="s">
        <v>305</v>
      </c>
      <c r="F41">
        <f t="shared" si="2"/>
        <v>13.5</v>
      </c>
      <c r="G41" t="s">
        <v>306</v>
      </c>
    </row>
    <row r="42" spans="1:7" x14ac:dyDescent="0.25">
      <c r="A42" t="s">
        <v>325</v>
      </c>
      <c r="B42" s="109">
        <v>9</v>
      </c>
      <c r="C42" s="109" t="s">
        <v>304</v>
      </c>
      <c r="D42" s="109">
        <v>1.5</v>
      </c>
      <c r="E42" s="109" t="s">
        <v>305</v>
      </c>
      <c r="F42">
        <f t="shared" si="2"/>
        <v>13.5</v>
      </c>
      <c r="G42" t="s">
        <v>306</v>
      </c>
    </row>
    <row r="43" spans="1:7" x14ac:dyDescent="0.25">
      <c r="A43" t="s">
        <v>325</v>
      </c>
      <c r="B43" s="109">
        <v>9</v>
      </c>
      <c r="C43" s="109" t="s">
        <v>304</v>
      </c>
      <c r="D43" s="109">
        <v>1.5</v>
      </c>
      <c r="E43" s="109" t="s">
        <v>305</v>
      </c>
      <c r="F43">
        <f t="shared" si="2"/>
        <v>13.5</v>
      </c>
      <c r="G43" t="s">
        <v>306</v>
      </c>
    </row>
    <row r="44" spans="1:7" x14ac:dyDescent="0.25">
      <c r="A44" t="s">
        <v>325</v>
      </c>
      <c r="B44" s="115">
        <v>9</v>
      </c>
      <c r="C44" s="109" t="s">
        <v>304</v>
      </c>
      <c r="D44" s="109">
        <v>1.5</v>
      </c>
      <c r="E44" s="109" t="s">
        <v>305</v>
      </c>
      <c r="F44">
        <f t="shared" si="2"/>
        <v>13.5</v>
      </c>
      <c r="G44" t="s">
        <v>306</v>
      </c>
    </row>
    <row r="45" spans="1:7" x14ac:dyDescent="0.25">
      <c r="A45" t="s">
        <v>326</v>
      </c>
      <c r="B45" s="109">
        <v>9.6</v>
      </c>
      <c r="C45" s="109" t="s">
        <v>304</v>
      </c>
      <c r="D45" s="109">
        <v>1.5</v>
      </c>
      <c r="E45" s="109" t="s">
        <v>305</v>
      </c>
      <c r="F45">
        <f t="shared" si="2"/>
        <v>14.399999999999999</v>
      </c>
      <c r="G45" t="s">
        <v>306</v>
      </c>
    </row>
    <row r="46" spans="1:7" x14ac:dyDescent="0.25">
      <c r="B46" s="109">
        <v>11.6</v>
      </c>
      <c r="C46" s="109" t="s">
        <v>304</v>
      </c>
      <c r="D46" s="109">
        <v>3</v>
      </c>
      <c r="E46" s="109" t="s">
        <v>305</v>
      </c>
      <c r="F46">
        <f t="shared" ref="F46:F54" si="3">D46*B46</f>
        <v>34.799999999999997</v>
      </c>
      <c r="G46" t="s">
        <v>306</v>
      </c>
    </row>
    <row r="47" spans="1:7" x14ac:dyDescent="0.25">
      <c r="B47" s="109">
        <v>11.6</v>
      </c>
      <c r="C47" s="109" t="s">
        <v>304</v>
      </c>
      <c r="D47" s="109">
        <v>3</v>
      </c>
      <c r="E47" s="109" t="s">
        <v>305</v>
      </c>
      <c r="F47">
        <f t="shared" si="3"/>
        <v>34.799999999999997</v>
      </c>
      <c r="G47" t="s">
        <v>306</v>
      </c>
    </row>
    <row r="48" spans="1:7" x14ac:dyDescent="0.25">
      <c r="B48" s="109">
        <v>11.6</v>
      </c>
      <c r="C48" s="109" t="s">
        <v>304</v>
      </c>
      <c r="D48" s="109">
        <v>3</v>
      </c>
      <c r="E48" s="109" t="s">
        <v>305</v>
      </c>
      <c r="F48">
        <f t="shared" si="3"/>
        <v>34.799999999999997</v>
      </c>
      <c r="G48" t="s">
        <v>306</v>
      </c>
    </row>
    <row r="49" spans="1:7" x14ac:dyDescent="0.25">
      <c r="B49" s="109">
        <v>11.6</v>
      </c>
      <c r="C49" s="109" t="s">
        <v>304</v>
      </c>
      <c r="D49" s="109">
        <v>3</v>
      </c>
      <c r="E49" s="109" t="s">
        <v>305</v>
      </c>
      <c r="F49">
        <f t="shared" si="3"/>
        <v>34.799999999999997</v>
      </c>
      <c r="G49" t="s">
        <v>306</v>
      </c>
    </row>
    <row r="50" spans="1:7" x14ac:dyDescent="0.25">
      <c r="B50" s="109">
        <v>11.6</v>
      </c>
      <c r="C50" s="109" t="s">
        <v>304</v>
      </c>
      <c r="D50" s="109">
        <v>3</v>
      </c>
      <c r="E50" s="109" t="s">
        <v>305</v>
      </c>
      <c r="F50">
        <f t="shared" si="3"/>
        <v>34.799999999999997</v>
      </c>
      <c r="G50" t="s">
        <v>306</v>
      </c>
    </row>
    <row r="51" spans="1:7" x14ac:dyDescent="0.25">
      <c r="B51" s="109">
        <v>11.6</v>
      </c>
      <c r="C51" s="109" t="s">
        <v>304</v>
      </c>
      <c r="D51" s="109">
        <v>3</v>
      </c>
      <c r="E51" s="109" t="s">
        <v>305</v>
      </c>
      <c r="F51">
        <f t="shared" si="3"/>
        <v>34.799999999999997</v>
      </c>
      <c r="G51" t="s">
        <v>306</v>
      </c>
    </row>
    <row r="52" spans="1:7" x14ac:dyDescent="0.25">
      <c r="B52" s="109">
        <v>11.6</v>
      </c>
      <c r="C52" s="109" t="s">
        <v>304</v>
      </c>
      <c r="D52" s="109">
        <v>3</v>
      </c>
      <c r="E52" s="109" t="s">
        <v>305</v>
      </c>
      <c r="F52">
        <f t="shared" si="3"/>
        <v>34.799999999999997</v>
      </c>
      <c r="G52" t="s">
        <v>306</v>
      </c>
    </row>
    <row r="53" spans="1:7" x14ac:dyDescent="0.25">
      <c r="B53" s="109">
        <v>11.6</v>
      </c>
      <c r="C53" s="109" t="s">
        <v>304</v>
      </c>
      <c r="D53" s="109">
        <v>3</v>
      </c>
      <c r="E53" s="109" t="s">
        <v>305</v>
      </c>
      <c r="F53">
        <f t="shared" si="3"/>
        <v>34.799999999999997</v>
      </c>
      <c r="G53" t="s">
        <v>306</v>
      </c>
    </row>
    <row r="54" spans="1:7" x14ac:dyDescent="0.25">
      <c r="A54" t="s">
        <v>327</v>
      </c>
      <c r="B54" s="109">
        <v>12.3</v>
      </c>
      <c r="C54" s="109" t="s">
        <v>304</v>
      </c>
      <c r="D54" s="109">
        <v>3</v>
      </c>
      <c r="E54" s="109" t="s">
        <v>305</v>
      </c>
      <c r="F54">
        <f t="shared" si="3"/>
        <v>36.900000000000006</v>
      </c>
      <c r="G54" t="s">
        <v>306</v>
      </c>
    </row>
    <row r="56" spans="1:7" x14ac:dyDescent="0.25">
      <c r="A56" s="112" t="s">
        <v>328</v>
      </c>
      <c r="B56" s="114"/>
      <c r="C56" s="114">
        <f>SUM(F28:F54)</f>
        <v>974.39999999999964</v>
      </c>
      <c r="D56" s="114" t="s">
        <v>306</v>
      </c>
    </row>
    <row r="58" spans="1:7" x14ac:dyDescent="0.25">
      <c r="A58" t="s">
        <v>329</v>
      </c>
    </row>
    <row r="59" spans="1:7" x14ac:dyDescent="0.25">
      <c r="B59" s="109">
        <v>113.65</v>
      </c>
    </row>
    <row r="60" spans="1:7" x14ac:dyDescent="0.25">
      <c r="B60" s="109">
        <v>8.25</v>
      </c>
    </row>
    <row r="61" spans="1:7" x14ac:dyDescent="0.25">
      <c r="B61" s="109">
        <v>9.24</v>
      </c>
    </row>
    <row r="62" spans="1:7" x14ac:dyDescent="0.25">
      <c r="B62" s="109">
        <v>3.96</v>
      </c>
    </row>
    <row r="63" spans="1:7" x14ac:dyDescent="0.25">
      <c r="B63" s="109">
        <v>9.24</v>
      </c>
    </row>
    <row r="64" spans="1:7" x14ac:dyDescent="0.25">
      <c r="B64" s="109">
        <v>6.6</v>
      </c>
    </row>
    <row r="65" spans="2:2" x14ac:dyDescent="0.25">
      <c r="B65" s="109">
        <v>14.06</v>
      </c>
    </row>
    <row r="66" spans="2:2" x14ac:dyDescent="0.25">
      <c r="B66" s="109">
        <v>4.58</v>
      </c>
    </row>
    <row r="67" spans="2:2" x14ac:dyDescent="0.25">
      <c r="B67" s="109">
        <v>13.72</v>
      </c>
    </row>
    <row r="68" spans="2:2" x14ac:dyDescent="0.25">
      <c r="B68" s="109">
        <v>6.59</v>
      </c>
    </row>
    <row r="69" spans="2:2" x14ac:dyDescent="0.25">
      <c r="B69" s="109">
        <v>13.69</v>
      </c>
    </row>
    <row r="70" spans="2:2" x14ac:dyDescent="0.25">
      <c r="B70" s="109">
        <v>9.24</v>
      </c>
    </row>
    <row r="71" spans="2:2" x14ac:dyDescent="0.25">
      <c r="B71" s="109">
        <v>8.24</v>
      </c>
    </row>
    <row r="72" spans="2:2" x14ac:dyDescent="0.25">
      <c r="B72" s="109">
        <v>3.96</v>
      </c>
    </row>
    <row r="73" spans="2:2" x14ac:dyDescent="0.25">
      <c r="B73" s="109">
        <v>3.96</v>
      </c>
    </row>
    <row r="74" spans="2:2" x14ac:dyDescent="0.25">
      <c r="B74" s="109">
        <v>3.96</v>
      </c>
    </row>
    <row r="75" spans="2:2" x14ac:dyDescent="0.25">
      <c r="B75" s="109">
        <v>3.96</v>
      </c>
    </row>
    <row r="76" spans="2:2" x14ac:dyDescent="0.25">
      <c r="B76" s="109">
        <v>4.95</v>
      </c>
    </row>
    <row r="77" spans="2:2" x14ac:dyDescent="0.25">
      <c r="B77" s="109">
        <v>8.25</v>
      </c>
    </row>
    <row r="78" spans="2:2" x14ac:dyDescent="0.25">
      <c r="B78" s="109">
        <v>8.25</v>
      </c>
    </row>
    <row r="79" spans="2:2" x14ac:dyDescent="0.25">
      <c r="B79" s="109">
        <v>8.25</v>
      </c>
    </row>
    <row r="80" spans="2:2" x14ac:dyDescent="0.25">
      <c r="B80" s="109">
        <v>8.25</v>
      </c>
    </row>
    <row r="81" spans="1:3" x14ac:dyDescent="0.25">
      <c r="B81" s="109">
        <v>8.25</v>
      </c>
    </row>
    <row r="82" spans="1:3" x14ac:dyDescent="0.25">
      <c r="B82" s="109">
        <v>8.25</v>
      </c>
    </row>
    <row r="83" spans="1:3" x14ac:dyDescent="0.25">
      <c r="B83" s="109">
        <v>8.25</v>
      </c>
    </row>
    <row r="84" spans="1:3" x14ac:dyDescent="0.25">
      <c r="B84" s="109">
        <v>8.25</v>
      </c>
    </row>
    <row r="85" spans="1:3" x14ac:dyDescent="0.25">
      <c r="B85" s="109">
        <v>9.4</v>
      </c>
    </row>
    <row r="87" spans="1:3" x14ac:dyDescent="0.25">
      <c r="A87" s="112" t="s">
        <v>330</v>
      </c>
      <c r="B87" s="114">
        <f>SUM(B59:B85)</f>
        <v>317.25000000000006</v>
      </c>
      <c r="C87" s="114" t="s">
        <v>12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CRONOGRAMA</vt:lpstr>
      <vt:lpstr>Planilha1</vt:lpstr>
      <vt:lpstr>memória de cálculo</vt:lpstr>
      <vt:lpstr>MEMÓRIA PINTURA</vt:lpstr>
      <vt:lpstr>CRONOGRAMA!Area_de_impressao</vt:lpstr>
      <vt:lpstr>'memória de cálculo'!Area_de_impressao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Licitação Administração Tietê</cp:lastModifiedBy>
  <cp:lastPrinted>2025-03-07T18:35:16Z</cp:lastPrinted>
  <dcterms:created xsi:type="dcterms:W3CDTF">2022-07-04T16:22:37Z</dcterms:created>
  <dcterms:modified xsi:type="dcterms:W3CDTF">2025-04-07T14:03:12Z</dcterms:modified>
</cp:coreProperties>
</file>