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- Geral\Licitações 2025\Obras\Concorrência Eletrônica 07-2025 - Reforma e modernização do Ginásio Acácio Ferraz - 1Doc 6.478-2025\"/>
    </mc:Choice>
  </mc:AlternateContent>
  <xr:revisionPtr revIDLastSave="0" documentId="8_{26151527-2D3B-4CFE-9633-FA90BDD3A802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CRONOGRAMA" sheetId="12" r:id="rId1"/>
    <sheet name="Plan3 - ATUALIZADA" sheetId="5" r:id="rId2"/>
    <sheet name="MEMÓRIA CÁLCULO CONVÊNIO" sheetId="10" r:id="rId3"/>
    <sheet name="pintura área de luta" sheetId="11" r:id="rId4"/>
    <sheet name=" pintura externa Ginásio" sheetId="9" r:id="rId5"/>
    <sheet name="composição CP 01" sheetId="6" r:id="rId6"/>
  </sheets>
  <externalReferences>
    <externalReference r:id="rId7"/>
    <externalReference r:id="rId8"/>
    <externalReference r:id="rId9"/>
  </externalReferences>
  <definedNames>
    <definedName name="_xlnm.Print_Area" localSheetId="4">' pintura externa Ginásio'!$A$1:$F$171</definedName>
    <definedName name="_xlnm.Print_Area" localSheetId="0">CRONOGRAMA!$A$1:$I$30</definedName>
    <definedName name="_xlnm.Print_Area" localSheetId="2">'MEMÓRIA CÁLCULO CONVÊNIO'!$A$1:$E$227</definedName>
    <definedName name="_xlnm.Print_Area" localSheetId="1">'Plan3 - ATUALIZADA'!$A$1:$I$237</definedName>
    <definedName name="_xlnm.Database">TEXT(Import.DataBase,"mm-aaaa")</definedName>
    <definedName name="Dados.Lista.BDI">[1]DADOS!$T$37:$X$37</definedName>
    <definedName name="Import.DataBase">[1]DADOS!$A$38</definedName>
    <definedName name="Nível" localSheetId="0">[2]Eventograma_e_Quantitativos!$C1</definedName>
    <definedName name="Nível" localSheetId="2">[2]Eventograma_e_Quantitativos!$C1</definedName>
    <definedName name="Nível" localSheetId="1">[2]Eventograma_e_Quantitativos!$C1</definedName>
    <definedName name="PO.CustoUnitario" localSheetId="0">ROUND(CRONOGRAMA!$D1,15-13*CRONOGRAMA!#REF!)</definedName>
    <definedName name="PO.CustoUnitario" localSheetId="1">ROUND('Plan3 - ATUALIZADA'!$J1,15-13*'Plan3 - ATUALIZADA'!#REF!)</definedName>
    <definedName name="PO.CustoUnitario">ROUND(#REF!,15-13*#REF!)</definedName>
    <definedName name="PO.PrecoUnitario" localSheetId="0">ROUND(CRONOGRAMA!$F1,15-13*CRONOGRAMA!#REF!)</definedName>
    <definedName name="PO.PrecoUnitario" localSheetId="1">ROUND('Plan3 - ATUALIZADA'!$L1,15-13*'Plan3 - ATUALIZADA'!#REF!)</definedName>
    <definedName name="PO.PrecoUnitario">ROUND(#REF!,15-13*#REF!)</definedName>
    <definedName name="PO.Quantidade" localSheetId="0">ROUND(CRONOGRAMA!#REF!,15-13*CRONOGRAMA!#REF!)</definedName>
    <definedName name="PO.Quantidade" localSheetId="1">ROUND('Plan3 - ATUALIZADA'!#REF!,15-13*'Plan3 - ATUALIZADA'!#REF!)</definedName>
    <definedName name="PO.Quantidade">ROUND(#REF!,15-13*#REF!)</definedName>
    <definedName name="Referencia.Unidade" localSheetId="0">#N/A</definedName>
    <definedName name="Referencia.Unidade" localSheetId="1">#N/A</definedName>
    <definedName name="Referencia.Unidade">IF(ISNUMBER([1]PO!linhaSINAPIxls),INDEX(INDIRECT("'[Referência "&amp;_xlnm.Database&amp;".xls]Banco'!$b:$g"),[1]PO!linhaSINAPIxls,4),"")</definedName>
    <definedName name="SomaAgrup" localSheetId="0">SUMIF(OFFSET(CRONOGRAMA!$A1,1,0,CRONOGRAMA!$B1),"S",OFFSET(CRONOGRAMA!A1,1,0,CRONOGRAMA!$B1))</definedName>
    <definedName name="SomaAgrup" localSheetId="1">SUMIF(OFFSET('Plan3 - ATUALIZADA'!$A1,1,0,'Plan3 - ATUALIZADA'!$D1),"S",OFFSET('Plan3 - ATUALIZADA'!A1,1,0,'Plan3 - ATUALIZADA'!$D1))</definedName>
    <definedName name="SomaAgrup">SUMIF(OFFSET(#REF!,1,0,#REF!),"S",OFFSET(#REF!,1,0,#REF!))</definedName>
    <definedName name="TipoOrçamento">"BASE"</definedName>
    <definedName name="TituloEventos">OFFSET([3]DADOS!$J$33,1,0):OFFSET([3]DADOS!$J$71,-1,0)</definedName>
    <definedName name="VTOTAL1" localSheetId="0">ROUND(CRONOGRAMA!PO.Quantidade*CRONOGRAMA!PO.PrecoUnitario,15-13*CRONOGRAMA!#REF!)</definedName>
    <definedName name="VTOTAL1" localSheetId="1">ROUND('Plan3 - ATUALIZADA'!PO.Quantidade*'Plan3 - ATUALIZADA'!PO.PrecoUnitario,15-13*'Plan3 - ATUALIZADA'!#REF!)</definedName>
    <definedName name="VTOTAL1">ROUND(PO.Quantidade*PO.PrecoUnitario,15-13*#REF!)</definedName>
    <definedName name="xxx">SUMIF(OFFSET(#REF!,1,0,#REF!),"S",OFFSET(#REF!,1,0,#REF!))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3" i="5" l="1"/>
  <c r="F212" i="5"/>
  <c r="F211" i="5"/>
  <c r="F210" i="5"/>
  <c r="F209" i="5"/>
  <c r="F208" i="5"/>
  <c r="F207" i="5"/>
  <c r="F206" i="5"/>
  <c r="F205" i="5"/>
  <c r="F204" i="5"/>
  <c r="F203" i="5"/>
  <c r="F202" i="5"/>
  <c r="F199" i="5"/>
  <c r="F198" i="5"/>
  <c r="F197" i="5"/>
  <c r="D196" i="10"/>
  <c r="D193" i="10"/>
  <c r="F201" i="5" s="1"/>
  <c r="D192" i="10"/>
  <c r="F200" i="5" s="1"/>
  <c r="D83" i="10" l="1"/>
  <c r="D82" i="10" s="1"/>
  <c r="D71" i="10"/>
  <c r="D14" i="10" l="1"/>
  <c r="N13" i="9"/>
  <c r="N14" i="9"/>
  <c r="N15" i="9"/>
  <c r="F225" i="5"/>
  <c r="H225" i="5"/>
  <c r="I225" i="5" l="1"/>
  <c r="H19" i="5"/>
  <c r="H226" i="5"/>
  <c r="H224" i="5"/>
  <c r="H223" i="5"/>
  <c r="H221" i="5"/>
  <c r="H220" i="5"/>
  <c r="H219" i="5"/>
  <c r="H217" i="5"/>
  <c r="H216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5" i="5"/>
  <c r="H194" i="5"/>
  <c r="H192" i="5"/>
  <c r="H191" i="5"/>
  <c r="H190" i="5"/>
  <c r="H189" i="5"/>
  <c r="H188" i="5"/>
  <c r="H187" i="5"/>
  <c r="H186" i="5"/>
  <c r="H185" i="5"/>
  <c r="H184" i="5"/>
  <c r="H181" i="5"/>
  <c r="H180" i="5"/>
  <c r="H179" i="5"/>
  <c r="H178" i="5"/>
  <c r="H177" i="5"/>
  <c r="H176" i="5"/>
  <c r="H175" i="5"/>
  <c r="H174" i="5"/>
  <c r="H172" i="5"/>
  <c r="H170" i="5"/>
  <c r="H169" i="5"/>
  <c r="H168" i="5"/>
  <c r="H167" i="5"/>
  <c r="H165" i="5"/>
  <c r="H164" i="5"/>
  <c r="H163" i="5"/>
  <c r="H160" i="5"/>
  <c r="H156" i="5"/>
  <c r="H153" i="5"/>
  <c r="H152" i="5"/>
  <c r="H151" i="5"/>
  <c r="H149" i="5"/>
  <c r="H148" i="5"/>
  <c r="H147" i="5"/>
  <c r="H146" i="5"/>
  <c r="H145" i="5"/>
  <c r="H144" i="5"/>
  <c r="H143" i="5"/>
  <c r="H142" i="5"/>
  <c r="H141" i="5"/>
  <c r="H140" i="5"/>
  <c r="H135" i="5"/>
  <c r="H134" i="5"/>
  <c r="H133" i="5"/>
  <c r="H132" i="5"/>
  <c r="H131" i="5"/>
  <c r="H129" i="5"/>
  <c r="H127" i="5"/>
  <c r="H125" i="5"/>
  <c r="H124" i="5"/>
  <c r="H123" i="5"/>
  <c r="H121" i="5"/>
  <c r="H120" i="5"/>
  <c r="H119" i="5"/>
  <c r="H118" i="5"/>
  <c r="H117" i="5"/>
  <c r="H115" i="5"/>
  <c r="H112" i="5"/>
  <c r="H111" i="5"/>
  <c r="H110" i="5"/>
  <c r="H109" i="5"/>
  <c r="H108" i="5"/>
  <c r="H103" i="5"/>
  <c r="H102" i="5"/>
  <c r="H101" i="5"/>
  <c r="H99" i="5"/>
  <c r="H98" i="5"/>
  <c r="H97" i="5"/>
  <c r="H91" i="5"/>
  <c r="H90" i="5"/>
  <c r="H89" i="5"/>
  <c r="H87" i="5"/>
  <c r="H86" i="5"/>
  <c r="H85" i="5"/>
  <c r="H82" i="5"/>
  <c r="H81" i="5"/>
  <c r="H80" i="5"/>
  <c r="H78" i="5"/>
  <c r="H77" i="5"/>
  <c r="H75" i="5"/>
  <c r="H74" i="5"/>
  <c r="H73" i="5"/>
  <c r="H71" i="5"/>
  <c r="H70" i="5"/>
  <c r="H69" i="5"/>
  <c r="H68" i="5"/>
  <c r="H65" i="5"/>
  <c r="H64" i="5"/>
  <c r="H63" i="5"/>
  <c r="H62" i="5"/>
  <c r="H61" i="5"/>
  <c r="H59" i="5"/>
  <c r="H58" i="5"/>
  <c r="H56" i="5"/>
  <c r="H55" i="5"/>
  <c r="H54" i="5"/>
  <c r="H52" i="5"/>
  <c r="H51" i="5"/>
  <c r="H50" i="5"/>
  <c r="H49" i="5"/>
  <c r="H48" i="5"/>
  <c r="H47" i="5"/>
  <c r="H44" i="5"/>
  <c r="H43" i="5"/>
  <c r="H42" i="5"/>
  <c r="H40" i="5"/>
  <c r="H39" i="5"/>
  <c r="H36" i="5"/>
  <c r="H34" i="5"/>
  <c r="H32" i="5"/>
  <c r="H30" i="5"/>
  <c r="H29" i="5"/>
  <c r="H27" i="5"/>
  <c r="H26" i="5"/>
  <c r="H25" i="5"/>
  <c r="I25" i="5" s="1"/>
  <c r="H24" i="5"/>
  <c r="I24" i="5" s="1"/>
  <c r="H23" i="5"/>
  <c r="I23" i="5" s="1"/>
  <c r="H21" i="5"/>
  <c r="H18" i="5"/>
  <c r="H17" i="5"/>
  <c r="H16" i="5"/>
  <c r="H15" i="5"/>
  <c r="H12" i="5"/>
  <c r="I213" i="5" l="1"/>
  <c r="I212" i="5"/>
  <c r="I211" i="5"/>
  <c r="I210" i="5"/>
  <c r="I209" i="5"/>
  <c r="I208" i="5"/>
  <c r="I207" i="5"/>
  <c r="I206" i="5"/>
  <c r="I205" i="5"/>
  <c r="I204" i="5"/>
  <c r="I203" i="5"/>
  <c r="I202" i="5"/>
  <c r="I201" i="5"/>
  <c r="I200" i="5"/>
  <c r="I199" i="5"/>
  <c r="I198" i="5"/>
  <c r="I197" i="5"/>
  <c r="E167" i="9"/>
  <c r="E166" i="9"/>
  <c r="E165" i="9"/>
  <c r="D163" i="9" s="1"/>
  <c r="D116" i="10"/>
  <c r="F124" i="5" s="1"/>
  <c r="I124" i="5" s="1"/>
  <c r="D115" i="10"/>
  <c r="D117" i="10" s="1"/>
  <c r="F125" i="5" s="1"/>
  <c r="I125" i="5" s="1"/>
  <c r="D94" i="10"/>
  <c r="D93" i="10"/>
  <c r="D90" i="10"/>
  <c r="D73" i="10"/>
  <c r="D74" i="10" s="1"/>
  <c r="D75" i="10" s="1"/>
  <c r="F82" i="5" s="1"/>
  <c r="I82" i="5" s="1"/>
  <c r="D70" i="10"/>
  <c r="D68" i="10"/>
  <c r="D66" i="10"/>
  <c r="D64" i="10"/>
  <c r="D61" i="10"/>
  <c r="D63" i="10"/>
  <c r="D62" i="10" s="1"/>
  <c r="F123" i="5" l="1"/>
  <c r="I123" i="5" s="1"/>
  <c r="D84" i="10"/>
  <c r="F91" i="5" s="1"/>
  <c r="I91" i="5" s="1"/>
  <c r="F81" i="5"/>
  <c r="I81" i="5" s="1"/>
  <c r="F80" i="5"/>
  <c r="I80" i="5" s="1"/>
  <c r="D80" i="10"/>
  <c r="F87" i="5" s="1"/>
  <c r="I87" i="5" s="1"/>
  <c r="I122" i="5" l="1"/>
  <c r="D78" i="10"/>
  <c r="D79" i="10" s="1"/>
  <c r="D177" i="10"/>
  <c r="F185" i="5" s="1"/>
  <c r="I185" i="5" s="1"/>
  <c r="F186" i="5"/>
  <c r="I186" i="5" s="1"/>
  <c r="D176" i="10"/>
  <c r="F194" i="5"/>
  <c r="I194" i="5" s="1"/>
  <c r="D187" i="10"/>
  <c r="F195" i="5" s="1"/>
  <c r="I195" i="5" s="1"/>
  <c r="D184" i="10"/>
  <c r="F192" i="5" s="1"/>
  <c r="I192" i="5" s="1"/>
  <c r="D183" i="10"/>
  <c r="F191" i="5" s="1"/>
  <c r="I191" i="5" s="1"/>
  <c r="D182" i="10"/>
  <c r="F190" i="5" s="1"/>
  <c r="I190" i="5" s="1"/>
  <c r="D180" i="10"/>
  <c r="F188" i="5" s="1"/>
  <c r="I188" i="5" s="1"/>
  <c r="D179" i="10"/>
  <c r="F187" i="5" s="1"/>
  <c r="I187" i="5" s="1"/>
  <c r="D37" i="11"/>
  <c r="C34" i="11"/>
  <c r="C32" i="11" s="1"/>
  <c r="D30" i="11"/>
  <c r="C27" i="11"/>
  <c r="C25" i="11" s="1"/>
  <c r="D23" i="11"/>
  <c r="D22" i="11"/>
  <c r="D21" i="11"/>
  <c r="D20" i="11"/>
  <c r="C17" i="11"/>
  <c r="C15" i="11" s="1"/>
  <c r="D13" i="11"/>
  <c r="D12" i="11"/>
  <c r="C9" i="11"/>
  <c r="C7" i="11" s="1"/>
  <c r="C5" i="11"/>
  <c r="C3" i="11" s="1"/>
  <c r="D40" i="11" l="1"/>
  <c r="D181" i="10" s="1"/>
  <c r="F189" i="5" s="1"/>
  <c r="I189" i="5" s="1"/>
  <c r="I79" i="5"/>
  <c r="F51" i="5"/>
  <c r="I51" i="5" s="1"/>
  <c r="F65" i="5"/>
  <c r="I65" i="5" s="1"/>
  <c r="F64" i="5"/>
  <c r="I64" i="5" s="1"/>
  <c r="D48" i="10"/>
  <c r="D54" i="10"/>
  <c r="D49" i="10"/>
  <c r="D47" i="10"/>
  <c r="D41" i="10"/>
  <c r="D40" i="10"/>
  <c r="D42" i="10"/>
  <c r="F49" i="5" s="1"/>
  <c r="I49" i="5" s="1"/>
  <c r="D37" i="10"/>
  <c r="D36" i="10"/>
  <c r="D32" i="10"/>
  <c r="D218" i="10" s="1"/>
  <c r="F226" i="5" s="1"/>
  <c r="I226" i="5" s="1"/>
  <c r="I193" i="5" l="1"/>
  <c r="D45" i="10"/>
  <c r="F52" i="5" s="1"/>
  <c r="I52" i="5" s="1"/>
  <c r="F181" i="5"/>
  <c r="I181" i="5" s="1"/>
  <c r="F180" i="5"/>
  <c r="I180" i="5" s="1"/>
  <c r="F179" i="5"/>
  <c r="I179" i="5" s="1"/>
  <c r="F172" i="5"/>
  <c r="I172" i="5" s="1"/>
  <c r="F153" i="5"/>
  <c r="I153" i="5" s="1"/>
  <c r="F152" i="5"/>
  <c r="I152" i="5" s="1"/>
  <c r="F151" i="5"/>
  <c r="I151" i="5" s="1"/>
  <c r="F146" i="5"/>
  <c r="I146" i="5" s="1"/>
  <c r="F144" i="5"/>
  <c r="I144" i="5" s="1"/>
  <c r="F143" i="5"/>
  <c r="I143" i="5" s="1"/>
  <c r="F142" i="5"/>
  <c r="I142" i="5" s="1"/>
  <c r="F140" i="5"/>
  <c r="I140" i="5" s="1"/>
  <c r="F137" i="5"/>
  <c r="F133" i="5"/>
  <c r="I133" i="5" s="1"/>
  <c r="F131" i="5"/>
  <c r="I131" i="5" s="1"/>
  <c r="F129" i="5"/>
  <c r="I129" i="5" s="1"/>
  <c r="F121" i="5"/>
  <c r="I121" i="5" s="1"/>
  <c r="F120" i="5"/>
  <c r="I120" i="5" s="1"/>
  <c r="F119" i="5"/>
  <c r="I119" i="5" s="1"/>
  <c r="F117" i="5"/>
  <c r="I117" i="5" s="1"/>
  <c r="F112" i="5"/>
  <c r="I112" i="5" s="1"/>
  <c r="F111" i="5"/>
  <c r="I111" i="5" s="1"/>
  <c r="F110" i="5"/>
  <c r="I110" i="5" s="1"/>
  <c r="F108" i="5"/>
  <c r="I108" i="5" s="1"/>
  <c r="F105" i="5"/>
  <c r="D215" i="10"/>
  <c r="D213" i="10"/>
  <c r="D212" i="10"/>
  <c r="D211" i="10"/>
  <c r="D208" i="10"/>
  <c r="F184" i="5"/>
  <c r="I184" i="5" s="1"/>
  <c r="D170" i="10"/>
  <c r="F178" i="5" s="1"/>
  <c r="I178" i="5" s="1"/>
  <c r="D167" i="10"/>
  <c r="D168" i="10" s="1"/>
  <c r="D169" i="10" s="1"/>
  <c r="F177" i="5" s="1"/>
  <c r="I177" i="5" s="1"/>
  <c r="D166" i="10"/>
  <c r="F174" i="5" s="1"/>
  <c r="I174" i="5" s="1"/>
  <c r="D162" i="10"/>
  <c r="F170" i="5" s="1"/>
  <c r="I170" i="5" s="1"/>
  <c r="D156" i="10"/>
  <c r="F164" i="5" s="1"/>
  <c r="I164" i="5" s="1"/>
  <c r="D155" i="10"/>
  <c r="F163" i="5" s="1"/>
  <c r="I163" i="5" s="1"/>
  <c r="D152" i="10"/>
  <c r="F160" i="5" s="1"/>
  <c r="I160" i="5" s="1"/>
  <c r="D150" i="10"/>
  <c r="F158" i="5" s="1"/>
  <c r="D148" i="10"/>
  <c r="F156" i="5" s="1"/>
  <c r="I156" i="5" s="1"/>
  <c r="D139" i="10"/>
  <c r="D141" i="10" s="1"/>
  <c r="F149" i="5" s="1"/>
  <c r="I149" i="5" s="1"/>
  <c r="D137" i="10"/>
  <c r="F145" i="5" s="1"/>
  <c r="I145" i="5" s="1"/>
  <c r="D133" i="10"/>
  <c r="F141" i="5" s="1"/>
  <c r="I141" i="5" s="1"/>
  <c r="D127" i="10"/>
  <c r="F135" i="5" s="1"/>
  <c r="I135" i="5" s="1"/>
  <c r="D124" i="10"/>
  <c r="D126" i="10" s="1"/>
  <c r="F134" i="5" s="1"/>
  <c r="I134" i="5" s="1"/>
  <c r="D110" i="10"/>
  <c r="F118" i="5" s="1"/>
  <c r="I118" i="5" s="1"/>
  <c r="D107" i="10"/>
  <c r="F115" i="5" s="1"/>
  <c r="I115" i="5" s="1"/>
  <c r="D101" i="10"/>
  <c r="F109" i="5" s="1"/>
  <c r="I109" i="5" s="1"/>
  <c r="D98" i="10"/>
  <c r="F106" i="5" s="1"/>
  <c r="D95" i="10"/>
  <c r="F103" i="5" s="1"/>
  <c r="I103" i="5" s="1"/>
  <c r="F101" i="5"/>
  <c r="I101" i="5" s="1"/>
  <c r="F98" i="5"/>
  <c r="I98" i="5" s="1"/>
  <c r="F97" i="5"/>
  <c r="I97" i="5" s="1"/>
  <c r="F90" i="5"/>
  <c r="I90" i="5" s="1"/>
  <c r="F89" i="5"/>
  <c r="I89" i="5" s="1"/>
  <c r="F86" i="5"/>
  <c r="I86" i="5" s="1"/>
  <c r="F85" i="5"/>
  <c r="I85" i="5" s="1"/>
  <c r="F78" i="5"/>
  <c r="I78" i="5" s="1"/>
  <c r="F77" i="5"/>
  <c r="I77" i="5" s="1"/>
  <c r="F75" i="5"/>
  <c r="I75" i="5" s="1"/>
  <c r="F71" i="5"/>
  <c r="I71" i="5" s="1"/>
  <c r="F70" i="5"/>
  <c r="I70" i="5" s="1"/>
  <c r="F69" i="5"/>
  <c r="I69" i="5" s="1"/>
  <c r="F68" i="5"/>
  <c r="I68" i="5" s="1"/>
  <c r="D67" i="10"/>
  <c r="F74" i="5" s="1"/>
  <c r="I74" i="5" s="1"/>
  <c r="D52" i="10"/>
  <c r="F59" i="5" s="1"/>
  <c r="I59" i="5" s="1"/>
  <c r="D51" i="10"/>
  <c r="F58" i="5" s="1"/>
  <c r="I58" i="5" s="1"/>
  <c r="F56" i="5"/>
  <c r="I56" i="5" s="1"/>
  <c r="F55" i="5"/>
  <c r="I55" i="5" s="1"/>
  <c r="F54" i="5"/>
  <c r="I54" i="5" s="1"/>
  <c r="F48" i="5"/>
  <c r="I48" i="5" s="1"/>
  <c r="F47" i="5"/>
  <c r="I47" i="5" s="1"/>
  <c r="F44" i="5"/>
  <c r="I44" i="5" s="1"/>
  <c r="F43" i="5"/>
  <c r="I43" i="5" s="1"/>
  <c r="F42" i="5"/>
  <c r="I42" i="5" s="1"/>
  <c r="D33" i="10"/>
  <c r="F40" i="5" s="1"/>
  <c r="I40" i="5" s="1"/>
  <c r="F39" i="5"/>
  <c r="I39" i="5" s="1"/>
  <c r="D119" i="10"/>
  <c r="F127" i="5" s="1"/>
  <c r="I127" i="5" s="1"/>
  <c r="F221" i="5" l="1"/>
  <c r="I221" i="5" s="1"/>
  <c r="D216" i="10"/>
  <c r="D209" i="10"/>
  <c r="F219" i="5"/>
  <c r="I219" i="5" s="1"/>
  <c r="F220" i="5"/>
  <c r="I220" i="5" s="1"/>
  <c r="F176" i="5"/>
  <c r="I176" i="5" s="1"/>
  <c r="D140" i="10"/>
  <c r="F148" i="5" s="1"/>
  <c r="I148" i="5" s="1"/>
  <c r="D159" i="10"/>
  <c r="F167" i="5" s="1"/>
  <c r="I167" i="5" s="1"/>
  <c r="F223" i="5"/>
  <c r="I223" i="5" s="1"/>
  <c r="D157" i="10"/>
  <c r="F165" i="5" s="1"/>
  <c r="I165" i="5" s="1"/>
  <c r="F147" i="5"/>
  <c r="I147" i="5" s="1"/>
  <c r="D160" i="10"/>
  <c r="F168" i="5" s="1"/>
  <c r="I168" i="5" s="1"/>
  <c r="D161" i="10"/>
  <c r="F169" i="5" s="1"/>
  <c r="I169" i="5" s="1"/>
  <c r="D91" i="10"/>
  <c r="F99" i="5" s="1"/>
  <c r="I99" i="5" s="1"/>
  <c r="F102" i="5"/>
  <c r="I102" i="5" s="1"/>
  <c r="F175" i="5"/>
  <c r="I175" i="5" s="1"/>
  <c r="F132" i="5"/>
  <c r="I132" i="5" s="1"/>
  <c r="F216" i="5"/>
  <c r="I216" i="5" s="1"/>
  <c r="F73" i="5"/>
  <c r="I73" i="5" s="1"/>
  <c r="I72" i="5" s="1"/>
  <c r="G137" i="5"/>
  <c r="D55" i="10"/>
  <c r="F62" i="5" s="1"/>
  <c r="I62" i="5" s="1"/>
  <c r="F61" i="5"/>
  <c r="I61" i="5" s="1"/>
  <c r="D43" i="10"/>
  <c r="F50" i="5" s="1"/>
  <c r="I50" i="5" s="1"/>
  <c r="H137" i="5" l="1"/>
  <c r="I137" i="5" s="1"/>
  <c r="I136" i="5" s="1"/>
  <c r="F224" i="5"/>
  <c r="I224" i="5" s="1"/>
  <c r="I196" i="5"/>
  <c r="I88" i="5"/>
  <c r="I84" i="5"/>
  <c r="F217" i="5"/>
  <c r="I217" i="5" s="1"/>
  <c r="D56" i="10"/>
  <c r="F63" i="5" s="1"/>
  <c r="I63" i="5" s="1"/>
  <c r="I126" i="5"/>
  <c r="I128" i="5"/>
  <c r="I76" i="5"/>
  <c r="I67" i="5"/>
  <c r="F21" i="5"/>
  <c r="I21" i="5" s="1"/>
  <c r="F34" i="5"/>
  <c r="I34" i="5" s="1"/>
  <c r="D25" i="10"/>
  <c r="F32" i="5" s="1"/>
  <c r="I32" i="5" s="1"/>
  <c r="I66" i="5" l="1"/>
  <c r="C15" i="12" s="1"/>
  <c r="I83" i="5"/>
  <c r="C16" i="12" s="1"/>
  <c r="I60" i="5"/>
  <c r="I46" i="5"/>
  <c r="I53" i="5"/>
  <c r="I57" i="5"/>
  <c r="I139" i="5"/>
  <c r="I130" i="5"/>
  <c r="I150" i="5"/>
  <c r="D29" i="10"/>
  <c r="F36" i="5" s="1"/>
  <c r="I36" i="5" s="1"/>
  <c r="H16" i="12" l="1"/>
  <c r="I16" i="12"/>
  <c r="H15" i="12"/>
  <c r="I15" i="12"/>
  <c r="I45" i="5"/>
  <c r="C14" i="12" s="1"/>
  <c r="I138" i="5"/>
  <c r="C20" i="12" s="1"/>
  <c r="E20" i="12" s="1"/>
  <c r="I35" i="5"/>
  <c r="I33" i="5"/>
  <c r="F27" i="5"/>
  <c r="I27" i="5" s="1"/>
  <c r="F26" i="5"/>
  <c r="I26" i="5" s="1"/>
  <c r="I31" i="5"/>
  <c r="I17" i="12" l="1"/>
  <c r="I27" i="12"/>
  <c r="H17" i="12"/>
  <c r="H27" i="12"/>
  <c r="F14" i="12"/>
  <c r="G14" i="12"/>
  <c r="F30" i="5"/>
  <c r="I30" i="5" s="1"/>
  <c r="F29" i="5"/>
  <c r="I29" i="5" s="1"/>
  <c r="D12" i="10"/>
  <c r="F19" i="5" s="1"/>
  <c r="I19" i="5" s="1"/>
  <c r="I20" i="5"/>
  <c r="D5" i="10"/>
  <c r="F12" i="5" s="1"/>
  <c r="I12" i="5" s="1"/>
  <c r="G17" i="12" l="1"/>
  <c r="G27" i="12"/>
  <c r="I22" i="5"/>
  <c r="D171" i="9"/>
  <c r="D9" i="10" s="1"/>
  <c r="F16" i="5" s="1"/>
  <c r="I16" i="5" s="1"/>
  <c r="D100" i="9"/>
  <c r="D72" i="9"/>
  <c r="D161" i="9"/>
  <c r="D157" i="9" s="1"/>
  <c r="D153" i="9"/>
  <c r="D155" i="9"/>
  <c r="D151" i="9" s="1"/>
  <c r="D154" i="9"/>
  <c r="D149" i="9"/>
  <c r="D148" i="9"/>
  <c r="D145" i="9" s="1"/>
  <c r="D143" i="9"/>
  <c r="D141" i="9" s="1"/>
  <c r="E135" i="9"/>
  <c r="E134" i="9"/>
  <c r="E133" i="9"/>
  <c r="E132" i="9"/>
  <c r="E131" i="9"/>
  <c r="E130" i="9"/>
  <c r="E129" i="9"/>
  <c r="E128" i="9"/>
  <c r="E125" i="9"/>
  <c r="E124" i="9"/>
  <c r="E123" i="9"/>
  <c r="E122" i="9"/>
  <c r="E119" i="9"/>
  <c r="E118" i="9"/>
  <c r="E117" i="9"/>
  <c r="E116" i="9"/>
  <c r="N12" i="9"/>
  <c r="M8" i="9"/>
  <c r="D112" i="9"/>
  <c r="D110" i="9" s="1"/>
  <c r="N11" i="9"/>
  <c r="D108" i="9"/>
  <c r="D107" i="9"/>
  <c r="D104" i="9" s="1"/>
  <c r="D98" i="9"/>
  <c r="D96" i="9" s="1"/>
  <c r="C94" i="9"/>
  <c r="D94" i="9" s="1"/>
  <c r="D92" i="9" s="1"/>
  <c r="I28" i="5" l="1"/>
  <c r="E114" i="9"/>
  <c r="N10" i="9"/>
  <c r="N9" i="9"/>
  <c r="D90" i="9" l="1"/>
  <c r="D88" i="9" s="1"/>
  <c r="C82" i="9"/>
  <c r="D86" i="9"/>
  <c r="D84" i="9" s="1"/>
  <c r="D82" i="9"/>
  <c r="D80" i="9" s="1"/>
  <c r="D78" i="9"/>
  <c r="D76" i="9" s="1"/>
  <c r="D70" i="9"/>
  <c r="D68" i="9" s="1"/>
  <c r="E62" i="9"/>
  <c r="E61" i="9"/>
  <c r="E60" i="9"/>
  <c r="E59" i="9"/>
  <c r="E58" i="9"/>
  <c r="E57" i="9"/>
  <c r="E56" i="9"/>
  <c r="E55" i="9"/>
  <c r="E52" i="9"/>
  <c r="E51" i="9"/>
  <c r="E50" i="9"/>
  <c r="E49" i="9"/>
  <c r="E46" i="9"/>
  <c r="E45" i="9"/>
  <c r="E44" i="9"/>
  <c r="E43" i="9"/>
  <c r="N8" i="9"/>
  <c r="D39" i="9"/>
  <c r="D37" i="9" s="1"/>
  <c r="D27" i="9"/>
  <c r="D35" i="9"/>
  <c r="D34" i="9"/>
  <c r="D31" i="9" s="1"/>
  <c r="N7" i="9"/>
  <c r="N6" i="9"/>
  <c r="D29" i="9"/>
  <c r="D28" i="9"/>
  <c r="N5" i="9"/>
  <c r="D23" i="9"/>
  <c r="D22" i="9"/>
  <c r="D21" i="9"/>
  <c r="D16" i="9"/>
  <c r="D15" i="9"/>
  <c r="D17" i="9"/>
  <c r="N4" i="9"/>
  <c r="D11" i="9"/>
  <c r="D7" i="9" s="1"/>
  <c r="N3" i="9"/>
  <c r="N2" i="9"/>
  <c r="M17" i="9" s="1"/>
  <c r="D10" i="10" s="1"/>
  <c r="F17" i="5" s="1"/>
  <c r="I17" i="5" s="1"/>
  <c r="D5" i="9"/>
  <c r="D4" i="9"/>
  <c r="D1" i="9" s="1"/>
  <c r="M18" i="9" l="1"/>
  <c r="D11" i="10" s="1"/>
  <c r="F18" i="5"/>
  <c r="I18" i="5" s="1"/>
  <c r="D25" i="9"/>
  <c r="E41" i="9"/>
  <c r="D170" i="9" s="1"/>
  <c r="D8" i="10" s="1"/>
  <c r="F15" i="5" s="1"/>
  <c r="I15" i="5" s="1"/>
  <c r="D19" i="9"/>
  <c r="D13" i="9"/>
  <c r="I14" i="5" l="1"/>
  <c r="I13" i="5" s="1"/>
  <c r="C12" i="12" s="1"/>
  <c r="E12" i="12"/>
  <c r="F12" i="12"/>
  <c r="D12" i="12"/>
  <c r="G158" i="5"/>
  <c r="H158" i="5" s="1"/>
  <c r="I158" i="5" s="1"/>
  <c r="F17" i="12" l="1"/>
  <c r="F27" i="12"/>
  <c r="I222" i="5"/>
  <c r="I215" i="5"/>
  <c r="I218" i="5"/>
  <c r="I183" i="5"/>
  <c r="I182" i="5" s="1"/>
  <c r="C23" i="12" s="1"/>
  <c r="I23" i="12" l="1"/>
  <c r="H23" i="12"/>
  <c r="G23" i="12"/>
  <c r="I214" i="5"/>
  <c r="C24" i="12" s="1"/>
  <c r="H25" i="12" l="1"/>
  <c r="H30" i="12" s="1"/>
  <c r="H28" i="12"/>
  <c r="I25" i="12"/>
  <c r="I30" i="12" s="1"/>
  <c r="I28" i="12"/>
  <c r="F24" i="12"/>
  <c r="G24" i="12"/>
  <c r="I171" i="5"/>
  <c r="F9" i="6"/>
  <c r="F8" i="6"/>
  <c r="F7" i="6"/>
  <c r="F10" i="6" s="1"/>
  <c r="G105" i="5" s="1"/>
  <c r="H105" i="5" s="1"/>
  <c r="I105" i="5" s="1"/>
  <c r="F6" i="6"/>
  <c r="F4" i="6"/>
  <c r="F5" i="6"/>
  <c r="I116" i="5"/>
  <c r="I166" i="5" l="1"/>
  <c r="I162" i="5"/>
  <c r="I173" i="5"/>
  <c r="I161" i="5" l="1"/>
  <c r="C22" i="12" s="1"/>
  <c r="D22" i="12" s="1"/>
  <c r="I159" i="5"/>
  <c r="I157" i="5"/>
  <c r="D25" i="12" l="1"/>
  <c r="D28" i="12"/>
  <c r="G106" i="5"/>
  <c r="H106" i="5" s="1"/>
  <c r="I106" i="5" s="1"/>
  <c r="I38" i="5" l="1"/>
  <c r="I41" i="5"/>
  <c r="I37" i="5" l="1"/>
  <c r="C13" i="12" s="1"/>
  <c r="E13" i="12" l="1"/>
  <c r="D13" i="12"/>
  <c r="I155" i="5"/>
  <c r="I154" i="5" s="1"/>
  <c r="C21" i="12" s="1"/>
  <c r="E17" i="12" l="1"/>
  <c r="E27" i="12"/>
  <c r="G21" i="12"/>
  <c r="F21" i="12"/>
  <c r="I114" i="5"/>
  <c r="I107" i="5" l="1"/>
  <c r="I96" i="5"/>
  <c r="I104" i="5"/>
  <c r="I11" i="5"/>
  <c r="I10" i="5" l="1"/>
  <c r="C11" i="12"/>
  <c r="C17" i="12" s="1"/>
  <c r="I100" i="5"/>
  <c r="I95" i="5" s="1"/>
  <c r="D11" i="12" l="1"/>
  <c r="D27" i="12" s="1"/>
  <c r="I92" i="5"/>
  <c r="I113" i="5"/>
  <c r="I94" i="5" s="1"/>
  <c r="C19" i="12" s="1"/>
  <c r="C25" i="12" s="1"/>
  <c r="C30" i="12" s="1"/>
  <c r="D17" i="12" l="1"/>
  <c r="D30" i="12" s="1"/>
  <c r="F19" i="12"/>
  <c r="G19" i="12"/>
  <c r="E19" i="12"/>
  <c r="I93" i="5"/>
  <c r="I227" i="5"/>
  <c r="I228" i="5" s="1"/>
  <c r="E25" i="12" l="1"/>
  <c r="E30" i="12" s="1"/>
  <c r="E28" i="12"/>
  <c r="D29" i="12" s="1"/>
  <c r="G25" i="12"/>
  <c r="G30" i="12" s="1"/>
  <c r="G28" i="12"/>
  <c r="F25" i="12"/>
  <c r="F30" i="12" s="1"/>
  <c r="F28" i="12"/>
  <c r="F29" i="12" l="1"/>
  <c r="L24" i="12"/>
  <c r="L25" i="12"/>
  <c r="L30" i="12" s="1"/>
</calcChain>
</file>

<file path=xl/sharedStrings.xml><?xml version="1.0" encoding="utf-8"?>
<sst xmlns="http://schemas.openxmlformats.org/spreadsheetml/2006/main" count="2117" uniqueCount="711">
  <si>
    <t>SINAPI</t>
  </si>
  <si>
    <t>1.</t>
  </si>
  <si>
    <t>ITEM</t>
  </si>
  <si>
    <t>FONTE</t>
  </si>
  <si>
    <t>CÓDIGO</t>
  </si>
  <si>
    <t>DESCRIÇÃO</t>
  </si>
  <si>
    <t>UNID.</t>
  </si>
  <si>
    <t>QUANT.</t>
  </si>
  <si>
    <t>CUSTO UNIT.</t>
  </si>
  <si>
    <t>PREÇO TOTAL</t>
  </si>
  <si>
    <t>PREÇO UNIT. C/ BDI</t>
  </si>
  <si>
    <t>M</t>
  </si>
  <si>
    <t>PLANILHA ORÇAMENTÁRIA - SERVIÇOS A SEREM CONCLUÍDOS</t>
  </si>
  <si>
    <t>BDI:</t>
  </si>
  <si>
    <t>CDHU</t>
  </si>
  <si>
    <t>M3</t>
  </si>
  <si>
    <t>M2</t>
  </si>
  <si>
    <t>VALOR TOTAL           ATUALIZADO C/ BDI</t>
  </si>
  <si>
    <t>VALOR TOTAL ITENS ACRESCIDOS</t>
  </si>
  <si>
    <t xml:space="preserve"> </t>
  </si>
  <si>
    <t>VALOR TOTAL CONVÊNIO + RECURSOS PRÓPRIOS</t>
  </si>
  <si>
    <t>Data Base:</t>
  </si>
  <si>
    <t>ATUALIZAÇÃO VALORES DATA BASE FEV/2025</t>
  </si>
  <si>
    <t>Serviços Preliminares</t>
  </si>
  <si>
    <t>Pintura</t>
  </si>
  <si>
    <t>PINTURA ANTICORROSIVA DE DUTO METÁLICO. AF_03/2024</t>
  </si>
  <si>
    <t>Instalações Elétricas</t>
  </si>
  <si>
    <t>CABO DE COBRE FLEXÍVEL ISOLADO, 6 MM², ANTI-CHAMA 450/750 V, PARA CIRCUITOS TERMINAIS - FORNECIMENTO E INSTALAÇÃO. AF_03/2023</t>
  </si>
  <si>
    <t>CHAPISCO APLICADO EM ALVENARIAS E ESTRUTURAS DE CONCRETO INTERNAS, COM COLHER DE PEDREIRO. ARGAMASSA TRAÇO 1:3 COM PREPARO EM BETONEIRA 400L. AF_10/2022</t>
  </si>
  <si>
    <t>ARGAMASSA TRAÇO 1:3 (EM VOLUME DE CIMENTO E AREIA MÉDIA ÚMIDA), PREPARO MANUAL. AF_08/2019</t>
  </si>
  <si>
    <t>Pista de Skate</t>
  </si>
  <si>
    <t>PINTURA LÁTEX ACRÍLICA PREMIUM, APLICAÇÃO MANUAL EM PAREDES, DUAS DEMÃOS. AF_04/2023</t>
  </si>
  <si>
    <t>PINTURA LÁTEX ACRÍLICA PREMIUM, APLICAÇÃO MANUAL EM TETO, DUAS DEMÃOS.AF_04/2023</t>
  </si>
  <si>
    <t>Pintura externa Ginásio</t>
  </si>
  <si>
    <t>Pintura Pista de Skate</t>
  </si>
  <si>
    <t>Quadra de Tênis</t>
  </si>
  <si>
    <t>PINTURA DE PISO COM TINTA ACRÍLICA, APLICAÇÃO MANUAL, 3 DEMÃOS, INCLUSO FUNDO PREPARADOR. AF_05/2021</t>
  </si>
  <si>
    <t>PINTURA COM TINTA ALQUÍDICA DE ACABAMENTO (ESMALTE SINTÉTICO FOSCO) PULVERIZADA SOBRE SUPERFÍCIES METÁLICAS (EXCETO PERFIL) EXECUTADO EM OBRA (02 DEMÃOS). AF_01/2020_PE</t>
  </si>
  <si>
    <t>ALAMBRADO PARA QUADRA POLIESPORTIVA, ESTRUTURADO POR TUBOS DE ACO GALVANIZADO, (MONTANTES COM DIAMETRO 2", TRAVESSAS E ESCORAS COM DIÂMETRO1 ¼"), COM TELA DE ARAME GALVANIZADO, FIO 14 BWG E MALHA QUADRADA 5X5CM (EXCETO MURETA). AF_03/2021</t>
  </si>
  <si>
    <t>TELA DE ARAME GALVANIZADO FIO Nº 12 BWG, MALHA DE 2"</t>
  </si>
  <si>
    <t>PORTÃO TUBULAR EM TELA DE AÇO GALVANIZADO ATÉ 2,50 M DE ALTURA, COMPLETO</t>
  </si>
  <si>
    <t>EXECUÇÃO DE PASSEIO (CALÇADA) OU PISO DE CONCRETO COM CONCRETO MOLDADO IN LOCO, FEITO EM OBRA, ACABAMENTO CONVENCIONAL, ESPESSURA 8 CM, ARMADO. AF_08/2022</t>
  </si>
  <si>
    <t>ALVENARIA DE VEDAÇÃO DE BLOCOS CERÂMICOS MACIÇOS DE 5X10X20CM (ESPESSURA 10CM) E ARGAMASSA DE ASSENTAMENTO COM PREPARO EM BETONEIRA. AF_05/2020</t>
  </si>
  <si>
    <t>LOCACAO DE ANDAIME METALICO TUBULAR DE ENCAIXE, TIPO DE TORRE, CADA PAINEL COM LARGURA DE 1 ATE 1,5 M E ALTURA DE *1,00* M, INCLUINDO DIAGONAL, BARRAS DE LIGACAO, SAPATAS OU RODIZIOS E DEMAIS ITENS NECESSARIOS A MONTAGEM (NAO INCLUI INSTALACAO)</t>
  </si>
  <si>
    <t>DEMOLIÇÃO DE ALVENARIA DE BLOCO FURADO, DE FORMA MANUAL, SEM REAPROVEITAMENTO. AF_09/2023</t>
  </si>
  <si>
    <t>Quadra de Areia</t>
  </si>
  <si>
    <t>Mureta</t>
  </si>
  <si>
    <t>Acessibilidade</t>
  </si>
  <si>
    <t>Área de Luta</t>
  </si>
  <si>
    <t>REMOÇÃO DE TAPUME/ CHAPAS METÁLICAS E DE MADEIRA, DE FORMA MANUAL, SEM REAPROVEITAMENTO. AF_09/2023</t>
  </si>
  <si>
    <t>FECHAMENTO EM PLACA CIMENTÍCIA COM ESPESSURA DE 12 MM</t>
  </si>
  <si>
    <t>35.01.070</t>
  </si>
  <si>
    <t>24.02.100</t>
  </si>
  <si>
    <t>14.31.030</t>
  </si>
  <si>
    <t>MXMÊS</t>
  </si>
  <si>
    <t>Alambrado</t>
  </si>
  <si>
    <t>Serviços Diversos</t>
  </si>
  <si>
    <r>
      <rPr>
        <b/>
        <sz val="11"/>
        <color theme="1"/>
        <rFont val="Calibri"/>
        <family val="2"/>
        <scheme val="minor"/>
      </rPr>
      <t xml:space="preserve">OBJETO: </t>
    </r>
    <r>
      <rPr>
        <sz val="11"/>
        <color theme="1"/>
        <rFont val="Calibri"/>
        <family val="2"/>
        <scheme val="minor"/>
      </rPr>
      <t>Reforma e Modernização da Infraestrutura do Ginásio Municipal</t>
    </r>
  </si>
  <si>
    <r>
      <rPr>
        <b/>
        <sz val="11"/>
        <color theme="1"/>
        <rFont val="Calibri"/>
        <family val="2"/>
        <scheme val="minor"/>
      </rPr>
      <t xml:space="preserve">CONVÊNIO: </t>
    </r>
    <r>
      <rPr>
        <sz val="11"/>
        <color theme="1"/>
        <rFont val="Calibri"/>
        <family val="2"/>
        <scheme val="minor"/>
      </rPr>
      <t>874703/2018</t>
    </r>
  </si>
  <si>
    <t>Demolições e Retiradas</t>
  </si>
  <si>
    <t>DEMOLIÇÃO DE ARGAMASSAS, DE FORMA MANUAL, SEM REAPROVEITAMENTO. AF_09/2023</t>
  </si>
  <si>
    <t>IMPERMEABILIZAÇÃO DE SUPERFÍCIE COM ARGAMASSA POLIMÉRICA / MEMBRANA ACRÍLICA, 3 DEMÃOS. AF_09/2023</t>
  </si>
  <si>
    <t>CHAPISCO APLICADO EM ALVENARIA (SEM PRESENÇA DE VÃOS) E ESTRUTURAS DE CONCRETO DE FACHADA, COM COLHER DE PEDREIRO. ARGAMASSA TRAÇO 1:3 COM PREPARO MANUAL. AF_10/2022</t>
  </si>
  <si>
    <t>EMBOÇO OU MASSA ÚNICA EM ARGAMASSA TRAÇO 1:2:8, PREPARO MECÂNICO COM BETONEIRA 400 L, APLICADA MANUALMENTE EM PANOS CEGOS DE FACHADA (SEM PRESENÇA DE VÃOS), ESPESSURA DE 25 MM. AF_08/2022</t>
  </si>
  <si>
    <t>Impermeabilização e Revestimentos</t>
  </si>
  <si>
    <t>Reparos em juntas e trincas</t>
  </si>
  <si>
    <t>Corte de junta de dilatação, com serra de disco diamantado para pisos</t>
  </si>
  <si>
    <t>11.20.050</t>
  </si>
  <si>
    <t>remoção de entulho</t>
  </si>
  <si>
    <t>corete para correção de juntas de dilatação e trincas: 190,30 m de trincas e juntas a serem reparadas * 2 lados</t>
  </si>
  <si>
    <t>quantidade do item alterada conforme aferido "in loco": 190,30 m * 0,30 m * 0,07 esp = 3,99 m³</t>
  </si>
  <si>
    <t>Junta de dilatação ou vedação com mastique de silicone, 1,0 x 0,5 cm -
inclusive guia de apoio em polietileno</t>
  </si>
  <si>
    <t>32.07.090</t>
  </si>
  <si>
    <t>execução de juntas de dilatação nas áreas que serão recompostas 190,30 M * 2 lados</t>
  </si>
  <si>
    <t>REPARO EM TRINCAS E RACHADURAS</t>
  </si>
  <si>
    <t>FDE</t>
  </si>
  <si>
    <t>12.80.030</t>
  </si>
  <si>
    <t>os itens previstos inicialmente para realização deste serviço foram substituídos. Total de 15,00 m de trincas nas salas administrativas</t>
  </si>
  <si>
    <t>PRÓPRIO</t>
  </si>
  <si>
    <t>CP 01</t>
  </si>
  <si>
    <t>ACABAMENTO PARA PISO EM TACO DE MADEIRA</t>
  </si>
  <si>
    <t>UNIDADE</t>
  </si>
  <si>
    <t>COEFIC.</t>
  </si>
  <si>
    <t>CUSTO UNIT. SEM DESONERAÇÃO</t>
  </si>
  <si>
    <t>Composição</t>
  </si>
  <si>
    <t>3.80.19</t>
  </si>
  <si>
    <t>Massa niveladora a base de água para madeira</t>
  </si>
  <si>
    <t>L</t>
  </si>
  <si>
    <t>Lixa para madeira</t>
  </si>
  <si>
    <t>3.80.39</t>
  </si>
  <si>
    <t>Carpinteiro de formas com encargos complementares</t>
  </si>
  <si>
    <t>H</t>
  </si>
  <si>
    <t xml:space="preserve">Servente com encargos complementares </t>
  </si>
  <si>
    <t>Polidora de piso (politriz), peso de 100 Kg, diâmetro 450 MM, motor elétrico, potência 4 HP - CHP diurno. AF_05/2023</t>
  </si>
  <si>
    <t>CHP</t>
  </si>
  <si>
    <t>Polidora de piso (politriz), peso de 100 Kg, diâmetro 450 MM, motor elétrico, potência 4 HP - CHI diurno. AF_05/2023</t>
  </si>
  <si>
    <t>CHI</t>
  </si>
  <si>
    <t>2.</t>
  </si>
  <si>
    <t>REFORMA E MODERNIZAÇÃO DA INFRAESTRUTURA DO GINÁSIO MUNICIPAL- ITENS ACRESCIDOS A SEREM PAGOS COM RECURSOS PRÓPRIOS</t>
  </si>
  <si>
    <t>Reforma pisos internos</t>
  </si>
  <si>
    <t>Retirada de piso em tacos de madeira</t>
  </si>
  <si>
    <t>04.05.020</t>
  </si>
  <si>
    <t>PISO EM GRANILITE, MARMORITE OU GRANITINA EM AMBIENTES INTERNOS, COM ESPESSURA DE 8 MM, INCLUSO MISTURA EM BETONEIRA, COLOCAÇÃO DAS JUNTAS, APLICAÇÃO DO PISO, 4 POLIMENTOS COM POLITRIZ, ESTUCAMENTO, SELADOR E CERA. AF_06/2022</t>
  </si>
  <si>
    <t>Resina acrílica para piso de granilite</t>
  </si>
  <si>
    <t>17.40.150</t>
  </si>
  <si>
    <t>DEMOLIÇÃO DE PISO DE CONCRETO SIMPLES, DE FORMA MECANIZADA COM MARTELETE, SEM REAPROVEITAMENTO. AF_09/2023</t>
  </si>
  <si>
    <t>Acabamento de piso</t>
  </si>
  <si>
    <t>ARGAMASSA TRAÇO 1:3 (EM VOLUME DE CIMENTO E AREIA MÉDIA ÚMIDA) PARA CONTRAPISO, PREPARO MANUAL. AF_08/2019</t>
  </si>
  <si>
    <t>SINTEKO - DUAS DEMAOS INCLUSIVE RASPAGEM - APLICADO</t>
  </si>
  <si>
    <t>13.02.092</t>
  </si>
  <si>
    <t>sala de troféus 182,16 + salas administrativas 40,75 m²</t>
  </si>
  <si>
    <t>restauro do taco existente nas áreas externas da quadra 59,35 m² + 50,50 m²</t>
  </si>
  <si>
    <t>Reforma sala secretário</t>
  </si>
  <si>
    <t>CHAPISCO APLICADO NO TETO OU EM ALVENARIA E ESTRUTURA, COM ROLO PARA TEXTURA ACRÍLICA.ARGAMASSA TRAÇO 1:4 E EMULSÃO POLIMÉRICA (ADESIVO) COM PREPARO MANUAL. AF_10/2022</t>
  </si>
  <si>
    <t>MASSA ÚNICA, EM ARGAMASSA TRAÇO 1:2:8, PREPARO MECÂNICO, APLICADA MANUALMENTE EM TETO, E = 17,5MM, COM TALISCAS. AF_03/2024</t>
  </si>
  <si>
    <t>remoção de revestimento em massa da laje 21,60 m²</t>
  </si>
  <si>
    <t>impermeabilização da laje e execução de reboco</t>
  </si>
  <si>
    <t>Esquadrias</t>
  </si>
  <si>
    <t>Reparo em portas metálicas</t>
  </si>
  <si>
    <t>acrescidos itens para pintura dos tubos metálicos da pista de skate 88,00 m de tubos * 0,15 perímetro</t>
  </si>
  <si>
    <t>Calçada</t>
  </si>
  <si>
    <t>DEMOLIÇÃO DE PISO DE CONCRETO SIMPLES, DE FORMA MANUAL, SEM REAPROVEITAMENTO. AF_09/2023</t>
  </si>
  <si>
    <t>Quadra de tênis</t>
  </si>
  <si>
    <t>Demolições e retiradas</t>
  </si>
  <si>
    <t>Demolição (levantamento) mecanizada de pavimento asfáltico,
inclusive carregamento, transporte até 1 quilômetro e
descarregamento</t>
  </si>
  <si>
    <t>03.07.010</t>
  </si>
  <si>
    <t>Execução de Piso</t>
  </si>
  <si>
    <t>Demolição (levantamento) mecanizada de pavimento asfáltico, inclusive carregamento, transporte até 1 quilômetro e descarregamento</t>
  </si>
  <si>
    <t xml:space="preserve">execução de piso novo em concreto </t>
  </si>
  <si>
    <t>Pintura do piso</t>
  </si>
  <si>
    <t>pintura do piso</t>
  </si>
  <si>
    <t>Serviços para AVCB</t>
  </si>
  <si>
    <t>24.20.200</t>
  </si>
  <si>
    <t>Chapa de ferro nº 14, inclusive soldagem (reparo em portas metálicas existentes)</t>
  </si>
  <si>
    <t>reparo nas portas de acesso à quadra 4 unidades : 1,20 m * 0,50 m parte inferior * 4</t>
  </si>
  <si>
    <t>Portas Entrada Sala de Troféus</t>
  </si>
  <si>
    <t>Eletroduto galvanizado conforme NBR13057 - 1´ com acessórios</t>
  </si>
  <si>
    <t>38.04.060</t>
  </si>
  <si>
    <t>substituição da fiação aparente e instalação de eletroduto galvanizado para passagem da fiação</t>
  </si>
  <si>
    <t>10 m * 1 mês para execução do serviço</t>
  </si>
  <si>
    <t>valor total serviço</t>
  </si>
  <si>
    <t>TOTAL</t>
  </si>
  <si>
    <t>Restauração tacos de madeira</t>
  </si>
  <si>
    <t>área da quadra - incluído serviço prévio de raspagem e calafetação dos tacos de madeira, necessário para posterior realização da pintura do piso da quadra</t>
  </si>
  <si>
    <t>demolição da quadra existente 20,50 * 29,50 m * 0,05 espessura</t>
  </si>
  <si>
    <t>QE-32 QUADRA DE ESPORTES/PISO DE CONCRETO ARMADO/FUNDACAO DIRETA</t>
  </si>
  <si>
    <t>13.02.031</t>
  </si>
  <si>
    <t>Retirada de folha de esquadria em madeira</t>
  </si>
  <si>
    <t>04.08.020</t>
  </si>
  <si>
    <t>Retirada de batente com guarnição e peças lineares em madeira,
chumbados</t>
  </si>
  <si>
    <t>04.08.060</t>
  </si>
  <si>
    <t>Porta macho e fêmea com batente de madeira - 120 x 210 cm (mão de obra)</t>
  </si>
  <si>
    <t>23.02.060</t>
  </si>
  <si>
    <t>Recolocação de batentes de madeira</t>
  </si>
  <si>
    <t>23.20.020</t>
  </si>
  <si>
    <t>Recolocação de folhas de porta ou janela</t>
  </si>
  <si>
    <t>23.20.040</t>
  </si>
  <si>
    <t>Recolocação de guarnição ou molduras</t>
  </si>
  <si>
    <t>23.20.060</t>
  </si>
  <si>
    <t>CJ</t>
  </si>
  <si>
    <t>Barra antipânico para porta dupla com travamentos horizontal e
vertical completa, com maçaneta tipo alavanca e chave, para vãos de
1,40 a 1,60 m</t>
  </si>
  <si>
    <t>28.20.840</t>
  </si>
  <si>
    <t>4 unidades</t>
  </si>
  <si>
    <t xml:space="preserve">1,50 + 2,10 + 2,10 + 2 portas </t>
  </si>
  <si>
    <t>Bebedouros Externos</t>
  </si>
  <si>
    <t>Revestimento de paredes</t>
  </si>
  <si>
    <t>demolição de bebedouros existentes 1,50 * 0,90 frente + 0,90 * 0,35 * 2 laterais * 0,15 espessura // 0,50 * 1,25 * 3 * 0,15 espessura</t>
  </si>
  <si>
    <t>remoção de reboco paredes dos bebedouros 4,00 * 2,60 + 4,80 * 2,60</t>
  </si>
  <si>
    <t>Purificador de pressão elétrico em chapa eletrozincado pré-pintada e
tampo em aço inoxidável, tipo coluna, capacidade de refrigeração de 2
l/h - conjugado</t>
  </si>
  <si>
    <t>43.01.032</t>
  </si>
  <si>
    <t xml:space="preserve">Bebedouro </t>
  </si>
  <si>
    <t>Lavatórios</t>
  </si>
  <si>
    <t>ESCAVAÇÃO MANUAL DE VALA. AF_09/2024</t>
  </si>
  <si>
    <t>Alvenaria de elevação de 1/2 tijolo maciço comum</t>
  </si>
  <si>
    <t>14.02.030</t>
  </si>
  <si>
    <t>Revestimento em placa cerâmica esmaltada de 10x10 cm, assentado e
rejuntado com argamassa industrializada</t>
  </si>
  <si>
    <t>18.11.022</t>
  </si>
  <si>
    <t>BANCADA GRANITO CINZA, 50 X 60 CM, INCL. CUBA DE EMBUTIR OVAL LOUÇA BRANCA 35 X 50 CM, VÁLVULA METAL CROMADO, SIFÃO FLEXÍVEL PVC, ENGATE 30 CM FLEXÍVEL PLÁSTICO E TORNEIRA CROMADA DE MESA,
PADRÃO POPULAR - FORNEC. E INSTALAÇÃO. AF_01/2020</t>
  </si>
  <si>
    <t>CAIXA COM GRELHA SIMPLES RETANGULAR, EM ALVENARIA COM TIJOLOS CERÂMICOS MACIÇOS, DIMENSÕES INTERNAS: 0,5X1X1 M. AF_12/2020</t>
  </si>
  <si>
    <t>TORNEIRA CROMADA 1/2" OU 3/4" PARA TANQUE, PADRÃO POPULAR - FORNECIMENTO E INSTALAÇÃO. AF_01/2020</t>
  </si>
  <si>
    <t>escavação para tubulação até caixa de drenagem 0,30 * 0,50 * 15 m</t>
  </si>
  <si>
    <t>alvenaria para lavatório e lava pés: 0,90*0,70*2 + 0,60*0,90*2 + 0,70*0,10*2 + 0,60*0,10</t>
  </si>
  <si>
    <t>1,20 m² parede + lava pés 0,50 + 0,5 + 0,40 + 0,40 * 0,10</t>
  </si>
  <si>
    <t>2.2.1</t>
  </si>
  <si>
    <t>2.3.1</t>
  </si>
  <si>
    <t>0,50*2,50*4 laterais portas + parte superior portas 1,80 * 0,40 * 2</t>
  </si>
  <si>
    <t>alvenaria * 2 lados</t>
  </si>
  <si>
    <t>TELHAMENTO COM TELHA DE AÇO/ALUMÍNIO E = 0,5 MM, COM ATÉ 2 ÁGUAS, INCLUSO IÇAMENTO. AF_07/2019</t>
  </si>
  <si>
    <t>Retirada de telhamento perfil e material qualquer, exceto barro</t>
  </si>
  <si>
    <t>04.03.040</t>
  </si>
  <si>
    <t>Remoção de calha ou rufo</t>
  </si>
  <si>
    <t>04.30.020</t>
  </si>
  <si>
    <t>182,00 M2 área aferida no cad</t>
  </si>
  <si>
    <t>22,40 calha + 41,90 m rufo</t>
  </si>
  <si>
    <t>2.7.1</t>
  </si>
  <si>
    <t>CALHA EM CHAPA DE AÇO GALVANIZADO NÚMERO 24, DESENVOLVIMENTO DE 100 CM, INCLUSO TRANSPORTE
VERTICAL. AF_07/2019</t>
  </si>
  <si>
    <t>TUBO PVC, SÉRIE R, ÁGUA PLUVIAL, DN 150 MM, FORNECIDO E INSTALADO EM CONDUTORES VERTICAIS DE ÁGUAS
PLUVIAIS. AF_06/2022</t>
  </si>
  <si>
    <t>descidas da calha, considerar 3 tubos de cada lado do ginásio 6 unidades * 4,50 m altuira</t>
  </si>
  <si>
    <t>KIT DE PORTA DE MADEIRA TIPO MEXICANA, MACIÇA (PESADA OU SUPERPESADA), PADRÃO MÉDIO, 80X210CM, ESPESSURA DE 3,5CM, ITENS INCLUSOS: DOBRADIÇAS, MONTAGEM E INSTALAÇÃO DE BATENTE, FECHADURA COM
EXECUÇÃO DO FURO - FORNECIMENTO E INSTALAÇÃO. AF_12/2019</t>
  </si>
  <si>
    <t>PORTA DE MADEIRA, TIPO MEXICANA, MACIÇA (PESADA OU SUPERPESADA), 80X210CM, ESPESSURA DE 3,5CM, INCLUSO DOBRADIÇAS - FORNECIMENTO E INSTALAÇÃO. AF_12/2019</t>
  </si>
  <si>
    <t>Substituição de portas internas (cantina e almoxarifado)</t>
  </si>
  <si>
    <t>cantina e almoxarifado</t>
  </si>
  <si>
    <t>0,80 + 2,10 + 2,10 - porta cantina</t>
  </si>
  <si>
    <t>porta cantina</t>
  </si>
  <si>
    <t>porta almoxarifado só folha</t>
  </si>
  <si>
    <t>Reforma sanitário</t>
  </si>
  <si>
    <t>Demolição manual de revestimento cerâmico, incluindo a base</t>
  </si>
  <si>
    <t>03.04.020</t>
  </si>
  <si>
    <t>Retirada de aparelho sanitário incluindo acessórios</t>
  </si>
  <si>
    <t>04.11.020</t>
  </si>
  <si>
    <t>Retirada de registro ou válvula embutidos</t>
  </si>
  <si>
    <t>04.11.080</t>
  </si>
  <si>
    <t>VASO SANITARIO SIFONADO CONVENCIONAL COM LOUÇA BRANCA, INCLUSO CONJUNTO DE LIGAÇÃO PARA BACIA SANITÁRIA AJUSTÁVEL - FORNECIMENTO E INSTALAÇÃO. AF_01/2020</t>
  </si>
  <si>
    <t>REVESTIMENTO CERÂMICO PARA PISO COM PLACAS TIPO PORCELANATO DE DIMENSÕES 60X60 CM APLICADA EM
AMBIENTES DE ÁREA MAIOR QUE 10 M². AF_02/2023_PE</t>
  </si>
  <si>
    <t>CAIXA SIFONADA, COM GRELHA QUADRADA, PVC, DN 150 X 150 X 50 MM, JUNTA SOLDÁVEL, FORNECIDA E INSTALADA EM RAMAL DE DESCARGA OU EM RAMAL DE ESGOTO SANITÁRIO. AF_08/2022</t>
  </si>
  <si>
    <t>Válvula de descarga antivandalismo, DN= 1 1/2´</t>
  </si>
  <si>
    <t>47.04.050</t>
  </si>
  <si>
    <t>REGISTRO DE PRESSÃO BRUTO, LATÃO, ROSCÁVEL, 1/2", COM ACABAMENTO E CANOPLA CROMADOS - FORNECIMENTO E INSTALAÇÃO. AF_08/2021</t>
  </si>
  <si>
    <t>REGISTRO DE GAVETA BRUTO, LATÃO, ROSCÁVEL, 1 1/2", COM ACABAMENTO E CANOPLA CROMADOS -
FORNECIMENTO E INSTALAÇÃO. AF_08/2021</t>
  </si>
  <si>
    <t>lavatório, bacias e mictorio</t>
  </si>
  <si>
    <t>TAPA VISTA DE MICTÓRIO EM PAINEL DE GRANILITE, ESP = 3CM, ASSENTADO COM ARGAMASSA COLANTE AC III-E .
AF_01/2021</t>
  </si>
  <si>
    <t>MICTÓRIO SIFONADO LOUÇA BRANCA - PADRÃO MÉDIO - FORNECIMENTO E INSTALAÇÃO. AF_01/2020</t>
  </si>
  <si>
    <t>Válvula de mictório antivandalismo, DN= 3/4´</t>
  </si>
  <si>
    <t>47.04.090</t>
  </si>
  <si>
    <t>1,50 * 0,50 M</t>
  </si>
  <si>
    <t>REMOÇÃO DE ALAMBRADOS PARA QUADRAS POLIESPORTIVAS, ESTRUTURADO POR TUBOS DE AÇO GALVANIZADO, COM TELA DE ARAME GALVANIZADO, DE FORMA MANUAL, SEM REAPROVEITAMENTO.
AF_09/2023</t>
  </si>
  <si>
    <t>ALVENARIA DE VEDAÇÃO DE BLOCOS CERÂMICOS FURADOS NA HORIZONTAL DE 14X19X29 CM (ESPESSURA 14 CM) E ARGAMASSA DE ASSENTAMENTO COM PREPARO MANUAL. AF_12/2021</t>
  </si>
  <si>
    <t>Porta lisa com batente metálico - 60 x 180 cm</t>
  </si>
  <si>
    <t>23.09.600</t>
  </si>
  <si>
    <t>Folha de porta lisa comum - 80 x 210 cm</t>
  </si>
  <si>
    <t>23.20.330</t>
  </si>
  <si>
    <t>Ferragem completa com maçaneta tipo alavanca, para porta externa
com 1 folha</t>
  </si>
  <si>
    <t>28.01.020</t>
  </si>
  <si>
    <t>ferragem porta almoxarifado</t>
  </si>
  <si>
    <t>box sanitários</t>
  </si>
  <si>
    <t>porta entrada sanitário e copa</t>
  </si>
  <si>
    <t>ENGENHEIRO CIVIL</t>
  </si>
  <si>
    <t>Pintura em Elementos Metálicos</t>
  </si>
  <si>
    <t>Pintura com esmalte alquídico em estrutura metálica</t>
  </si>
  <si>
    <t>33.07.140</t>
  </si>
  <si>
    <t>KG</t>
  </si>
  <si>
    <t>área de demolição para reparo nas trincas e juntas de dilatação 190,30 * 0,30 = 57,09 m²</t>
  </si>
  <si>
    <t>atrás dos bebedouros 0,70 * 1,50 * 2</t>
  </si>
  <si>
    <t>MILTON PELUSI</t>
  </si>
  <si>
    <t>CREA: 060.135.678-7</t>
  </si>
  <si>
    <t>PINTURA TINTA DE ACABAMENTO (PIGMENTADA) ESMALTE SINTÉTICO ACETINADO EM MADEIRA, 2 DEMÃOS. AF_01/2021</t>
  </si>
  <si>
    <t>total</t>
  </si>
  <si>
    <t>m2</t>
  </si>
  <si>
    <t>FORNECIMENTO E INSTALAÇÃO DE PLACA DE OBRA COM CHAPA GALVANIZADA E ESTRUTURA DE MADEIRA. AF_03/2022_PS</t>
  </si>
  <si>
    <t>CARGA, MANOBRA E DESCARGA DE ENTULHO EM CAMINHÃO BASCULANTE 6 M³ - CARGA COM ESCAVADEIRA HIDRÁULICA (CAÇAMBA DE 0,80 M³ / 111 HP) E DESCARGA LIVRE (UNIDADE: M3). AF_07/2020</t>
  </si>
  <si>
    <t>REMOÇÃO DE TELA DE ARAME GALVANIZADO DE ALAMBRADOS PARA QUADRAS POLIESPORTIVAS, DE FORMA MANUAL, SEM REMOÇÃO DA ESTRUTURA DE SUSTENTAÇÃO, SEM REAPROVEITAMENTO. AF_09/2023</t>
  </si>
  <si>
    <t>PAREDE 01</t>
  </si>
  <si>
    <t>platibanda frente</t>
  </si>
  <si>
    <t>platibanda parte inferior</t>
  </si>
  <si>
    <t>cad</t>
  </si>
  <si>
    <t>largura</t>
  </si>
  <si>
    <t>altura</t>
  </si>
  <si>
    <t>unid.</t>
  </si>
  <si>
    <t>parede frente</t>
  </si>
  <si>
    <t>TINTA ACRÍLICA</t>
  </si>
  <si>
    <t>P1</t>
  </si>
  <si>
    <t>quant.</t>
  </si>
  <si>
    <t>material</t>
  </si>
  <si>
    <t>madeira</t>
  </si>
  <si>
    <t>J1</t>
  </si>
  <si>
    <t xml:space="preserve">ESQUADRIAS EXTERNA </t>
  </si>
  <si>
    <t>PAREDE 02</t>
  </si>
  <si>
    <t>parede</t>
  </si>
  <si>
    <t>P2</t>
  </si>
  <si>
    <t>metálica</t>
  </si>
  <si>
    <t>PAREDE 03</t>
  </si>
  <si>
    <t>PAREDE 04</t>
  </si>
  <si>
    <t>J2</t>
  </si>
  <si>
    <t>PAREDE 05</t>
  </si>
  <si>
    <t>P3</t>
  </si>
  <si>
    <t>J3</t>
  </si>
  <si>
    <t>PAREDE 06</t>
  </si>
  <si>
    <t>PAREDE 07</t>
  </si>
  <si>
    <t>J4</t>
  </si>
  <si>
    <t>PAREDE 08</t>
  </si>
  <si>
    <t>pilar 01 frente</t>
  </si>
  <si>
    <t>pilar 02 frente</t>
  </si>
  <si>
    <t>pilar 03 frente</t>
  </si>
  <si>
    <t>pilar 04 frente</t>
  </si>
  <si>
    <t>pilar 01 laterais</t>
  </si>
  <si>
    <t>pilar 02 laterais</t>
  </si>
  <si>
    <t>pilar 03 laterais</t>
  </si>
  <si>
    <t>pilar 04 laterais</t>
  </si>
  <si>
    <t>viga 01 frente</t>
  </si>
  <si>
    <t>viga 01 laterais</t>
  </si>
  <si>
    <t>viga 02 frente</t>
  </si>
  <si>
    <t>viga 02 laterais</t>
  </si>
  <si>
    <t>viga 03 frente</t>
  </si>
  <si>
    <t>viga 03 laterais</t>
  </si>
  <si>
    <t>viga arco frente</t>
  </si>
  <si>
    <t>viga arco inferior</t>
  </si>
  <si>
    <t>elemento vazado</t>
  </si>
  <si>
    <t>paredes</t>
  </si>
  <si>
    <t>PAREDE 09</t>
  </si>
  <si>
    <t>PAREDE 10</t>
  </si>
  <si>
    <t>PAREDE 11</t>
  </si>
  <si>
    <t>PAREDE 12</t>
  </si>
  <si>
    <t>PAREDE 13</t>
  </si>
  <si>
    <t>PAREDE 14</t>
  </si>
  <si>
    <t>P4</t>
  </si>
  <si>
    <t>portão metálico</t>
  </si>
  <si>
    <t>J5</t>
  </si>
  <si>
    <t>janela cantina</t>
  </si>
  <si>
    <t>PAREDE 15</t>
  </si>
  <si>
    <t>PAREDE 16</t>
  </si>
  <si>
    <t>PAREDE 17</t>
  </si>
  <si>
    <t>PAREDE 18</t>
  </si>
  <si>
    <t>abrigo gás laje</t>
  </si>
  <si>
    <t>abrigo gás paredes</t>
  </si>
  <si>
    <t>P5</t>
  </si>
  <si>
    <t>PAREDE 19</t>
  </si>
  <si>
    <t>P6</t>
  </si>
  <si>
    <t>PAREDE 20</t>
  </si>
  <si>
    <t>PAREDE 21</t>
  </si>
  <si>
    <t>J6</t>
  </si>
  <si>
    <t>PAREDE 22</t>
  </si>
  <si>
    <t>PAREDE 23</t>
  </si>
  <si>
    <t>PAREDE 24</t>
  </si>
  <si>
    <t>TOTAL PINTURA EXTERNA ALVENARIA</t>
  </si>
  <si>
    <t>TOTAL PINTURA EXTERNA ELEMENTO VAZADO</t>
  </si>
  <si>
    <t>TOTAL PINTURA EM ESQUADRIA DE MADEIRA</t>
  </si>
  <si>
    <t>TOTAL PINTURA EM ESQUADRIA METÁLICA</t>
  </si>
  <si>
    <t>PINTURA TINTA DE ACABAMENTO (PIGMENTADA) A ÓLEO EM MADEIRA, 2 DEMÃOS. AF_01/2021 (esquadrias externas)</t>
  </si>
  <si>
    <t>PINTURA COM TINTA ALQUÍDICA DE ACABAMENTO (ESMALTE SINTÉTICO ACETINADO) APLICADA A ROLO OU PINCEL SOBRE SUPERFÍCIES METÁLICAS (EXCETO PERFIL) EXECUTADO EM OBRA (02 DEMÃOS). AF_01/2020</t>
  </si>
  <si>
    <t>Ginásio Poliesportivo</t>
  </si>
  <si>
    <t>3,60 X 1,80 M</t>
  </si>
  <si>
    <t>conforme memória de cálculo pintura</t>
  </si>
  <si>
    <t>Locação de plataforma elevatória articulada, com altura aproximada de 12,5m, capacidade de carga de 227 kg, elétrica</t>
  </si>
  <si>
    <t>02.06.030</t>
  </si>
  <si>
    <t>UNXMÊS</t>
  </si>
  <si>
    <t>área de projeção da estrutura metálica 1280,90 m² * 10 kg - considerado 10 kg / m² conforme TCPO</t>
  </si>
  <si>
    <t>Esmalte à base água em superfície metálica, inclusive preparo</t>
  </si>
  <si>
    <t>33.11.050</t>
  </si>
  <si>
    <t>Pintura Arquibancada</t>
  </si>
  <si>
    <t>Pintura Paredes Internas Ginásio</t>
  </si>
  <si>
    <t>Pintura Sanitários Masculino e Feminino</t>
  </si>
  <si>
    <t>conforme quantitativo do Convênio firmado</t>
  </si>
  <si>
    <t>PINTURA LÁTEX ACRÍLICA PREMIUM, APLICAÇÃO MANUAL EM PAREDES, DUAS DEMÃOS. AF_04/2023 (VIGAS DA QUADRA)</t>
  </si>
  <si>
    <t>PINTURA LÁTEX ACRÍLICA PREMIUM, APLICAÇÃO MANUAL EM PAREDES, DUAS DEMÃOS. AF_04/2023 (PAREDES 1 A 14)</t>
  </si>
  <si>
    <t>PINTURA LÁTEX ACRÍLICA PREMIUM, APLICAÇÃO MANUAL EM PAREDES, DUAS DEMÃOS. AF_04/2023 (PAREDE)</t>
  </si>
  <si>
    <t>Pintura Piso Madeira</t>
  </si>
  <si>
    <t>PINTURA TINTA DE ACABAMENTO (PIGMENTADA) A ÓLEO EM MADEIRA, 2 DEMÃOS. AF_01/2021 (QUADRA POLIESPORTIVA)</t>
  </si>
  <si>
    <t>PINTURA LÁTEX ACRÍLICA PREMIUM, APLICAÇÃO MANUAL EM PAREDES, DUAS DEMÃOS. AF_04/2023 (SALAS INTERNAS GINÁSIO)</t>
  </si>
  <si>
    <t>PINTURA LÁTEX ACRÍLICA PREMIUM, APLICAÇÃO MANUAL EM TETO, DUAS DEMÃOS.AF_04/2023 (SALAS INTERNAS GINÁSIO)</t>
  </si>
  <si>
    <t>4,50 x 1,20 pintura do piso com a indicação da área para cadeirantes</t>
  </si>
  <si>
    <t>pintura das portas P7 / P8 / P9 / P10</t>
  </si>
  <si>
    <t>Pintura Portas Internas</t>
  </si>
  <si>
    <t>pintura da quadra poliesportiva 18,45 X 30,80 M</t>
  </si>
  <si>
    <t>PAREDE COM SISTEMA EM CHAPAS DE GESSO PARA DRYWALL, USO INTERNO, COM DUAS FACES SIMPLES E ESTRUTURA METÁLICA COM GUIAS SIMPLES PARA PAREDES COM ÁREA LÍQUIDA MAIOR OU IGUAL A 6 M2, COM VÃOS. AF_07/2023_PS</t>
  </si>
  <si>
    <t>retirada alambrado lateral para execução de alvenaria 4,97  * 4 * 2,20 h</t>
  </si>
  <si>
    <t>Paredes e Divisórias</t>
  </si>
  <si>
    <t>Revestimento de Paredes</t>
  </si>
  <si>
    <t>1.1</t>
  </si>
  <si>
    <t>2.1</t>
  </si>
  <si>
    <t>2.1.1</t>
  </si>
  <si>
    <t>2.1.2</t>
  </si>
  <si>
    <t>2.1.3</t>
  </si>
  <si>
    <t>2.1.4</t>
  </si>
  <si>
    <t>2.1.5</t>
  </si>
  <si>
    <t>2.2</t>
  </si>
  <si>
    <t>2.3</t>
  </si>
  <si>
    <t>2.4</t>
  </si>
  <si>
    <t>2.4.1</t>
  </si>
  <si>
    <t>2.4.2</t>
  </si>
  <si>
    <t>2.5</t>
  </si>
  <si>
    <t>2.5.1</t>
  </si>
  <si>
    <t>2.6</t>
  </si>
  <si>
    <t>2.6.1</t>
  </si>
  <si>
    <t>2.7</t>
  </si>
  <si>
    <t>3.</t>
  </si>
  <si>
    <t>3.1</t>
  </si>
  <si>
    <t>3.1.1</t>
  </si>
  <si>
    <t>3.1.2</t>
  </si>
  <si>
    <t>3.2</t>
  </si>
  <si>
    <t>3.2.1</t>
  </si>
  <si>
    <t>3.2.2</t>
  </si>
  <si>
    <t>3.2.3</t>
  </si>
  <si>
    <t>4.</t>
  </si>
  <si>
    <t>4.1</t>
  </si>
  <si>
    <t>4.1.1</t>
  </si>
  <si>
    <t>4.1.2</t>
  </si>
  <si>
    <t>4.1.3</t>
  </si>
  <si>
    <t>4.1.4</t>
  </si>
  <si>
    <t>4.2</t>
  </si>
  <si>
    <t>4.2.1</t>
  </si>
  <si>
    <t>4.2.2</t>
  </si>
  <si>
    <t>4.2.3</t>
  </si>
  <si>
    <t>4.3</t>
  </si>
  <si>
    <t>4.3.1</t>
  </si>
  <si>
    <t>4.3.2</t>
  </si>
  <si>
    <t>4.4</t>
  </si>
  <si>
    <t>4.4.1</t>
  </si>
  <si>
    <t>4.4.2</t>
  </si>
  <si>
    <t>LAVATÓRIO LOUÇA BRANCA COM COLUNA, *44 X 35,5* CM, PADRÃO POPULAR, INCLUSO SIFÃO FLEXÍVEL EM PVC, VÁLVULA E ENGATE FLEXÍVEL 30CM EM PLÁSTICO E COM TORNEIRA CROMADA PADRÃO POPULAR - FORNECIMENTO E INSTALAÇÃO. AF_01/2020</t>
  </si>
  <si>
    <t>TAPA VISTA DE MICTÓRIO EM PAINEL DE GRANILITE, ESP = 3CM, ASSENTADO COM ARGAMASSA COLANTE AC III-E . AF_01/2021</t>
  </si>
  <si>
    <t>REVESTIMENTO CERÂMICO PARA PISO COM PLACAS TIPO PORCELANATO DE DIMENSÕES 60X60 CM APLICADA EM AMBIENTES DE ÁREA MAIOR QUE 10 M². AF_02/2023_PE</t>
  </si>
  <si>
    <t>demolição piso cerâmico 10,36 M2</t>
  </si>
  <si>
    <t>instalação de piso cerâmico</t>
  </si>
  <si>
    <t>Ferragem completa com maçaneta tipo alavanca, para porta externa com 1 folha</t>
  </si>
  <si>
    <t>PINTURA LÁTEX ACRÍLICA PREMIUM, APLICAÇÃO MANUAL EM PAREDES, DUAS DEMÃOS. AF_04/2023 (placa cimentícia)</t>
  </si>
  <si>
    <t>PINTURA LÁTEX ACRÍLICA PREMIUM, APLICAÇÃO MANUAL EM PAREDES, DUAS DEMÃOS. AF_04/2023 (drywall)</t>
  </si>
  <si>
    <t>5.</t>
  </si>
  <si>
    <t>5.1</t>
  </si>
  <si>
    <t>5.1.1</t>
  </si>
  <si>
    <t>5.1.2</t>
  </si>
  <si>
    <t>5.1.3</t>
  </si>
  <si>
    <t>5.1.4</t>
  </si>
  <si>
    <t>5.2</t>
  </si>
  <si>
    <t>5.2.1</t>
  </si>
  <si>
    <t>5.2.2</t>
  </si>
  <si>
    <t>5.2.3</t>
  </si>
  <si>
    <t>5.3</t>
  </si>
  <si>
    <t>5.3.1</t>
  </si>
  <si>
    <t>5.3.2</t>
  </si>
  <si>
    <t>6.</t>
  </si>
  <si>
    <t>6.1</t>
  </si>
  <si>
    <t>6.1.1</t>
  </si>
  <si>
    <t>6.1.2</t>
  </si>
  <si>
    <t>6.2</t>
  </si>
  <si>
    <t>6.2.1</t>
  </si>
  <si>
    <t>6.2.2</t>
  </si>
  <si>
    <t>Caixilho em alumínio de correr, sob medida</t>
  </si>
  <si>
    <t>25.01.080</t>
  </si>
  <si>
    <t>INSTALAÇÃO DE VIDRO TEMPERADO, E = 6 MM, ENCAIXADO EM PERFIL U. AF_01/2021_PS</t>
  </si>
  <si>
    <t>Porta de entrada de correr em alumínio, sob medida</t>
  </si>
  <si>
    <t>25.02.040</t>
  </si>
  <si>
    <t>4.4.3</t>
  </si>
  <si>
    <t>3,00 * 2,10</t>
  </si>
  <si>
    <t>vidros para porta e vitrôs</t>
  </si>
  <si>
    <t>Pintura Estrutura Metálica Ginásio</t>
  </si>
  <si>
    <t>2.3.2</t>
  </si>
  <si>
    <t>2.3.3</t>
  </si>
  <si>
    <t>2.3.4</t>
  </si>
  <si>
    <t>2.3.5</t>
  </si>
  <si>
    <t>7.</t>
  </si>
  <si>
    <t>7.1</t>
  </si>
  <si>
    <t>7.1.1</t>
  </si>
  <si>
    <t>Serviços Ginásio Poliesportivo</t>
  </si>
  <si>
    <t>7.1.1.1</t>
  </si>
  <si>
    <t>7.1.1.2</t>
  </si>
  <si>
    <t>7.1.1.3</t>
  </si>
  <si>
    <t>7.1.2</t>
  </si>
  <si>
    <t>7.1.2.1</t>
  </si>
  <si>
    <t>7.1.2.2</t>
  </si>
  <si>
    <t>7.1.2.3</t>
  </si>
  <si>
    <t>7.1.3</t>
  </si>
  <si>
    <t>7.1.3.1</t>
  </si>
  <si>
    <t>7.1.3.2</t>
  </si>
  <si>
    <t>7.2</t>
  </si>
  <si>
    <t>7.2.1</t>
  </si>
  <si>
    <t>7.2.2</t>
  </si>
  <si>
    <t>7.2.3</t>
  </si>
  <si>
    <t>7.2.4</t>
  </si>
  <si>
    <t>7.2.5</t>
  </si>
  <si>
    <t>7.3</t>
  </si>
  <si>
    <t>7.3.1</t>
  </si>
  <si>
    <t>7.3.1.1</t>
  </si>
  <si>
    <t>7.3.2</t>
  </si>
  <si>
    <t>7.3.2.1</t>
  </si>
  <si>
    <t>7.3.2.2</t>
  </si>
  <si>
    <t>7.3.2.3</t>
  </si>
  <si>
    <t>7.3.2.4</t>
  </si>
  <si>
    <t>7.3.2.5</t>
  </si>
  <si>
    <t>7.4</t>
  </si>
  <si>
    <t>7.4.1</t>
  </si>
  <si>
    <t>7.5</t>
  </si>
  <si>
    <t>Substituição de Cobertura Salas Administrativas</t>
  </si>
  <si>
    <t>7.6</t>
  </si>
  <si>
    <t>Reparo de Trincas Salas Administrativas</t>
  </si>
  <si>
    <t>7.7</t>
  </si>
  <si>
    <t>7.7.1</t>
  </si>
  <si>
    <t>8.</t>
  </si>
  <si>
    <t>8.1</t>
  </si>
  <si>
    <t>8.1.1</t>
  </si>
  <si>
    <t>8.1.2</t>
  </si>
  <si>
    <t>8.1.3</t>
  </si>
  <si>
    <t>8.1.4</t>
  </si>
  <si>
    <t>8.1.5</t>
  </si>
  <si>
    <t>8.1.6</t>
  </si>
  <si>
    <t>8.1.7</t>
  </si>
  <si>
    <t>8.1.8</t>
  </si>
  <si>
    <t>8.1.9</t>
  </si>
  <si>
    <t>8.1.10</t>
  </si>
  <si>
    <t>8.2</t>
  </si>
  <si>
    <t>8.2.1</t>
  </si>
  <si>
    <t>8.2.2</t>
  </si>
  <si>
    <t>8.2.3</t>
  </si>
  <si>
    <t>9.</t>
  </si>
  <si>
    <t>9.1</t>
  </si>
  <si>
    <t>9.1.1</t>
  </si>
  <si>
    <t>9.2</t>
  </si>
  <si>
    <t>9.2.1</t>
  </si>
  <si>
    <t>9.3</t>
  </si>
  <si>
    <t>9.3.1</t>
  </si>
  <si>
    <t>10.</t>
  </si>
  <si>
    <t>10.1</t>
  </si>
  <si>
    <t>10.1.1</t>
  </si>
  <si>
    <t>10.1.2</t>
  </si>
  <si>
    <t>10.1.3</t>
  </si>
  <si>
    <t>10.2</t>
  </si>
  <si>
    <t>10.2.1</t>
  </si>
  <si>
    <t>10.2.2</t>
  </si>
  <si>
    <t>10.2.3</t>
  </si>
  <si>
    <t>10.2.4</t>
  </si>
  <si>
    <t>10.3</t>
  </si>
  <si>
    <t>10.3.1</t>
  </si>
  <si>
    <t>10.4</t>
  </si>
  <si>
    <t>10.4.1</t>
  </si>
  <si>
    <t>10.4.2</t>
  </si>
  <si>
    <t>10.4.3</t>
  </si>
  <si>
    <t>10.4.4</t>
  </si>
  <si>
    <t>10.4.5</t>
  </si>
  <si>
    <t>10.4.6</t>
  </si>
  <si>
    <t>10.4.7</t>
  </si>
  <si>
    <t>10.4.8</t>
  </si>
  <si>
    <t>11.</t>
  </si>
  <si>
    <t>11.1</t>
  </si>
  <si>
    <t>11.1.1</t>
  </si>
  <si>
    <t>11.1.2</t>
  </si>
  <si>
    <t>11.1.3</t>
  </si>
  <si>
    <t>12.</t>
  </si>
  <si>
    <t>12.1</t>
  </si>
  <si>
    <t>12.1.1</t>
  </si>
  <si>
    <t>12.1.2</t>
  </si>
  <si>
    <t>12.2</t>
  </si>
  <si>
    <t>12.2.1</t>
  </si>
  <si>
    <t>12.2.2</t>
  </si>
  <si>
    <t>12.2.3</t>
  </si>
  <si>
    <t>SERVIÇOS RECURSOS PRÓPRIOS</t>
  </si>
  <si>
    <t>Aluguel equipamentos pintura interna e externa</t>
  </si>
  <si>
    <t>7.5.1</t>
  </si>
  <si>
    <t>7.6.1</t>
  </si>
  <si>
    <t>7.6.2</t>
  </si>
  <si>
    <t>7.6.3</t>
  </si>
  <si>
    <t>7.6.4</t>
  </si>
  <si>
    <t>7.6.5</t>
  </si>
  <si>
    <t>considerado o aluguel de 1 plataforma por 1 mês para pintura da estrutura metálica interna e 1 plataforma por 1 mês para pintura da alvenaria externa do ginásio</t>
  </si>
  <si>
    <t>remoção do entulho referente à remoção do reboco, considerado espessura de 5 cm</t>
  </si>
  <si>
    <t>fechamento de alvenaria parede lateral 4,97 m * 4 vãos * 2,20 h - área vitrôs 4,00*1,00*4 unid (16 m²)</t>
  </si>
  <si>
    <t>área de alvenaria * 2 lados</t>
  </si>
  <si>
    <t>pintura piso pista skate</t>
  </si>
  <si>
    <t>remoção do reboco das paredes laterais da pista 140,53 M² - área já descascada 30,32 m²</t>
  </si>
  <si>
    <t xml:space="preserve">paredes laterais da pista 140,53 M² </t>
  </si>
  <si>
    <t>4.1.5</t>
  </si>
  <si>
    <t>DEMOLIÇÃO DE PISO DE CONCRETO SIMPLES, DE FORMA MECANIZADA COM MARTELETE, SEM
REAPROVEITAMENTO. AF_09/2023</t>
  </si>
  <si>
    <t>demolição de concreto (degrau) 30,30 + 8,05 m comprimento * 0,45 largura * 0,20 h</t>
  </si>
  <si>
    <t>retirada de divisórias internas : 32,60 m * 2,80 m h + 32,30 m * 3,40 m h + 12,10 * 2,10 h</t>
  </si>
  <si>
    <t>4,70 * 2,50 h</t>
  </si>
  <si>
    <t>4,00 * 1,00 * 4 unidades + 2,50 * 1,00 * 5 unidades</t>
  </si>
  <si>
    <t>instalação de divisórias em drywall 26,90 * 2,90 M ALTURA</t>
  </si>
  <si>
    <t>4.4.4</t>
  </si>
  <si>
    <t>KIT DE PORTA DE MADEIRA PARA PINTURA, SEMI-OCA (LEVE OU MÉDIA), PADRÃO MÉDIO, 90X210CM, ESPESSURA
DE 3,5CM, ITENS INCLUSOS: DOBRADIÇAS, MONTAGEM E INSTALAÇÃO DO BATENTE, SEM FECHADURA -
FORNECIMENTO E INSTALAÇÃO. AF_12/2019</t>
  </si>
  <si>
    <t>4.4.5</t>
  </si>
  <si>
    <t>FECHADURA DE EMBUTIR PARA PORTAS INTERNAS, COMPLETA, ACABAMENTO PADRÃO MÉDIO, COM EXECUÇÃO</t>
  </si>
  <si>
    <t>instalação de porta na divisória de drywall</t>
  </si>
  <si>
    <t>instalaçao de fechadura na porta nova e na porta existente</t>
  </si>
  <si>
    <t>REMOÇÃO DE FORROS DE DRYWALL, PVC E FIBROMINERAL, DE FORMA MANUAL, SEM REAPROVEITAMENTO.
AF_09/2023</t>
  </si>
  <si>
    <t>4.1.6</t>
  </si>
  <si>
    <t>remoção de forro de PVC salas internas A = 100,15 m²</t>
  </si>
  <si>
    <t>remoção de entulho: forro, divisórias, concreto e alvenaria</t>
  </si>
  <si>
    <t>demolição muros alvenaria (11,56 m² * 2 lados ) + (1,55 * 3,40 h) +  demolição alvenaria vão de porta 3,00 * 2,10 h (espessura 0,15 m)</t>
  </si>
  <si>
    <t>Piso Área de Luta</t>
  </si>
  <si>
    <t>argamassa de regularização de piso da área de luta A = 340,88 m²</t>
  </si>
  <si>
    <t>pintura piso área de luta</t>
  </si>
  <si>
    <t>Regularização de piso com nata de cimento e adesivo de alto
desempenho</t>
  </si>
  <si>
    <t>17.01.060</t>
  </si>
  <si>
    <t>PINTURA LÁTEX ACRÍLICA PREMIUM, APLICAÇÃO MANUAL EM PAREDES, DUAS DEMÃOS. AF_04/2023 (paredes internas)</t>
  </si>
  <si>
    <t xml:space="preserve">PINTURA LÁTEX ACRÍLICA PREMIUM, APLICAÇÃO MANUAL EM PAREDES, DUAS DEMÃOS. AF_04/2023 </t>
  </si>
  <si>
    <t>paredes externas, áreas retiradas no CAD = 33,35 + 11,20 + 37,20 + 49,90 m²</t>
  </si>
  <si>
    <t>MURETA INTERNA</t>
  </si>
  <si>
    <t>comprimento</t>
  </si>
  <si>
    <t>ÁREA LUTA 02</t>
  </si>
  <si>
    <t>descontar esquadrias</t>
  </si>
  <si>
    <t>quantidade</t>
  </si>
  <si>
    <t>ÁREA LUTA 03</t>
  </si>
  <si>
    <t>SANITÁRIO</t>
  </si>
  <si>
    <t>COPA</t>
  </si>
  <si>
    <t>TOTAL PINTURA INTERNA</t>
  </si>
  <si>
    <t>paredes internas, conforme memória de cálculo pintura</t>
  </si>
  <si>
    <t>pintura portas madeira P1 / P2 / P4 / P6 = 10,35 M² * 2 lados</t>
  </si>
  <si>
    <t>pintura esquadrias metálicas J01 e J02= 9,80 m² * 2 lados</t>
  </si>
  <si>
    <t>11.1.4</t>
  </si>
  <si>
    <t>11.1.5</t>
  </si>
  <si>
    <t>11.1.6</t>
  </si>
  <si>
    <t>11.1.7</t>
  </si>
  <si>
    <t>11.1.8</t>
  </si>
  <si>
    <t>11.1.9</t>
  </si>
  <si>
    <t>11.2</t>
  </si>
  <si>
    <t>pintura da estrutura metálica da cobertura 716,78 m² * 10 kg (considerado 10 kg/m²)</t>
  </si>
  <si>
    <t>pintura alambrado de fechamento da edificação 68,40m perímetro * 2,20 m altura = 150,48 m² + pintura portão garagem 6,95 * 2,80 = 19,46 m² - tela alambrado que não será pintada 128,00 m² = 169,94 m² - 128 m² = 41,94 m² * 2 considerando volta toda dos tubos e cantomeiras = 83,88</t>
  </si>
  <si>
    <t>placa cimentícia 44,95 m perímetro * 2,50 h</t>
  </si>
  <si>
    <t>drywall 26,90 perímetro * 2,90 h * 2 lados - esquadrias 2,50*1,20*5 unidades - portas 0,90*2,10</t>
  </si>
  <si>
    <t>SINAPI - I</t>
  </si>
  <si>
    <t>andaime para pintura estrutura metálica considerada 4 torres com 4,50 m cada * 1 mês</t>
  </si>
  <si>
    <t>11.2.1</t>
  </si>
  <si>
    <t>11.2.2</t>
  </si>
  <si>
    <t>Reforma Sanitário</t>
  </si>
  <si>
    <t>remoção tela alambrados 17,50 * 4,20 * 2 lados</t>
  </si>
  <si>
    <t>colocação tela alambrados 17,50 * 4,20 * 2 lados</t>
  </si>
  <si>
    <t>fundo zarcão na estrutura existente e tubos novos</t>
  </si>
  <si>
    <t>6.1.3</t>
  </si>
  <si>
    <t>TUBO ACO GALVANIZADO COM COSTURA, CLASSE LEVE, DN 40 MM (1 1/2"), E = 3,00 MM, *3,48* KG/M (NBR 5580)</t>
  </si>
  <si>
    <t>2,45 * 11 unidades * 2 lados ( substituição dos tubos do alambrado)</t>
  </si>
  <si>
    <t>5.4</t>
  </si>
  <si>
    <t>5.4.1</t>
  </si>
  <si>
    <t>5.4.2</t>
  </si>
  <si>
    <t>5.4.3</t>
  </si>
  <si>
    <t>6.2.3</t>
  </si>
  <si>
    <t>pintura murte da quadra 102,60 m * 0,25 (parte superior) = 25,65 m² + 102,60 m * 0,40 (lateral) = 41,04 m²</t>
  </si>
  <si>
    <t>troca de tela alambrado existente: laterais menores 20,40 * 4,20 * 2 lados = 171,36 m² + laterais maiores 41,13 m² * 4 = 164,52 m²</t>
  </si>
  <si>
    <t>51,08 m² * 2 lados</t>
  </si>
  <si>
    <t>0,90 * 2,20 * 2 unidades</t>
  </si>
  <si>
    <t>5,50 * 2,30 * 0,07</t>
  </si>
  <si>
    <t>5,50 m * 2,30 m</t>
  </si>
  <si>
    <t>pintura de fundo zarcão: laterais maiores: 4,20 m * 6 unid. + 2,50 m * 2 unid. + 0,90 * 10 unid. + 4,85 m * 2 unid. + 5,20 m * 4 unid. + 10,10 m * 2 unid. = 89,90 m * 2 lados = 179,80 m // laterais menores: 20,40 m * 2 unid. + 4,20 m * 7 unid. + 5,25 m * 2 unid. = 80,70 m * 2 lados = 161,40 m // * 0,25 m perímetro do tubo</t>
  </si>
  <si>
    <t>remoção de entulho calçada</t>
  </si>
  <si>
    <t>2,50 * 0,40</t>
  </si>
  <si>
    <t>remoção de piso sala coordenação 18,00 m2</t>
  </si>
  <si>
    <t>demolição de piso em granilite e contrapiso da sala de troféus 182,16 m², considerado 0,07 espessura + contrapiso salas administrativas 18,00 m² * 0,05 espessura</t>
  </si>
  <si>
    <t>retirada entulho demolições</t>
  </si>
  <si>
    <t>execução de contrapiso na sala de troféus 182,16 + salas administrativas 18,00 m² * 0,05 espessura</t>
  </si>
  <si>
    <t>sala de troféus 182,16 + salas administrativas 18,00 m²</t>
  </si>
  <si>
    <t>7.3.3</t>
  </si>
  <si>
    <t>Substituição de vidros</t>
  </si>
  <si>
    <t>Retirada de vidro ou espelho com raspagem da massa ou retirada de
baguete</t>
  </si>
  <si>
    <t>04.14.020</t>
  </si>
  <si>
    <t>Vidro fantasia de 3/4 mm</t>
  </si>
  <si>
    <t>26.01.230</t>
  </si>
  <si>
    <t>7.3.3.1</t>
  </si>
  <si>
    <t>7.3.3.2</t>
  </si>
  <si>
    <t>7.3.3.3</t>
  </si>
  <si>
    <t>2,00 * 0,60 * 11 unidades + 1,00 * 0,60 + 0,70 * 0,70</t>
  </si>
  <si>
    <t>remoção entulho vidro</t>
  </si>
  <si>
    <t>RESERVATÓRIO</t>
  </si>
  <si>
    <t>pilares</t>
  </si>
  <si>
    <t>laje inferior</t>
  </si>
  <si>
    <t>escada reservatório</t>
  </si>
  <si>
    <t>12.3</t>
  </si>
  <si>
    <t>12.3.1</t>
  </si>
  <si>
    <t>12.3.2</t>
  </si>
  <si>
    <t>12.3.3</t>
  </si>
  <si>
    <t>SERVIÇOS CONVÊNIO</t>
  </si>
  <si>
    <t xml:space="preserve">pintura treliças e terça das paredes 02 e 24                                 19,75 * 0,55 * 2  </t>
  </si>
  <si>
    <t>MEMÓRIA DE CÁLCULO</t>
  </si>
  <si>
    <t>11.3</t>
  </si>
  <si>
    <t>11.3.1</t>
  </si>
  <si>
    <t>11.3.2</t>
  </si>
  <si>
    <t>11.3.3</t>
  </si>
  <si>
    <t>11.3.4</t>
  </si>
  <si>
    <t>11.3.5</t>
  </si>
  <si>
    <t>11.3.6</t>
  </si>
  <si>
    <t>11.3.7</t>
  </si>
  <si>
    <t>11.3.8</t>
  </si>
  <si>
    <t>11.3.9</t>
  </si>
  <si>
    <t>11.3.10</t>
  </si>
  <si>
    <t>11.3.11</t>
  </si>
  <si>
    <t>11.3.12</t>
  </si>
  <si>
    <t>11.3.13</t>
  </si>
  <si>
    <t>11.3.14</t>
  </si>
  <si>
    <t>11.3.15</t>
  </si>
  <si>
    <t>11.3.16</t>
  </si>
  <si>
    <t>11.3.17</t>
  </si>
  <si>
    <t>1º MÊS</t>
  </si>
  <si>
    <t>TOTAL GERAL</t>
  </si>
  <si>
    <t>2º MÊS</t>
  </si>
  <si>
    <t>3º MÊS</t>
  </si>
  <si>
    <t>4º MÊS</t>
  </si>
  <si>
    <t>5º MÊS</t>
  </si>
  <si>
    <t>6º MÊS</t>
  </si>
  <si>
    <t>CRONOGRAMA FÍSICO-FINANCEIRO</t>
  </si>
  <si>
    <r>
      <rPr>
        <b/>
        <sz val="12"/>
        <color theme="1"/>
        <rFont val="Calibri"/>
        <family val="2"/>
        <scheme val="minor"/>
      </rPr>
      <t xml:space="preserve">OBJETO: </t>
    </r>
    <r>
      <rPr>
        <sz val="12"/>
        <color theme="1"/>
        <rFont val="Calibri"/>
        <family val="2"/>
        <scheme val="minor"/>
      </rPr>
      <t>Reforma e Modernização da Infraestrutura do Ginásio Municipal</t>
    </r>
  </si>
  <si>
    <r>
      <rPr>
        <b/>
        <sz val="12"/>
        <color theme="1"/>
        <rFont val="Calibri"/>
        <family val="2"/>
        <scheme val="minor"/>
      </rPr>
      <t xml:space="preserve">CONVÊNIO: </t>
    </r>
    <r>
      <rPr>
        <sz val="12"/>
        <color theme="1"/>
        <rFont val="Calibri"/>
        <family val="2"/>
        <scheme val="minor"/>
      </rPr>
      <t>874703/2018</t>
    </r>
  </si>
  <si>
    <t>REFORMA E MODERNIZAÇÃO DA INFRAESTRUTURA DO GINÁSIO MUNICIPAL- ITENS DO CONVÊNIO</t>
  </si>
  <si>
    <t>Tietê, 26 de junho de 2025.</t>
  </si>
  <si>
    <t>APLICAÇÃO MANUAL DE TINTA LÁTEX ACRÍLICA EM PANOS COM PRESENÇA DE VÃOS DE EDIFÍCIOS DE MÚLTIPLOS
PAVIMENTOS, DUAS DEMÃOS. AF_03/2024 (paredes)</t>
  </si>
  <si>
    <t>APLICAÇÃO MANUAL DE TINTA LÁTEX ACRÍLICA EM PANOS COM PRESENÇA DE VÃOS DE EDIFÍCIOS DE MÚLTIPLOS
PAVIMENTOS, DUAS DEMÃOS. AF_03/2024 (elemento vazado)</t>
  </si>
  <si>
    <t>12.3.4</t>
  </si>
  <si>
    <t>APLICAÇÃO MANUAL DE TINTA LÁTEX ACRÍLICA EM PAREDE EXTERNAS DE CASAS, DUAS DEMÃOS. AF_03/2024</t>
  </si>
  <si>
    <t>paredes lateral pista de skate</t>
  </si>
  <si>
    <t>P7</t>
  </si>
  <si>
    <t>pintura esquadrias metálicas conforme memória de cálculo pintura * 2 lados</t>
  </si>
  <si>
    <t>conforme memória de cálculo pintura * 2 lados</t>
  </si>
  <si>
    <t>pintura espelhos arquibancada 30,80 m * 0,40 m * 20 unidades + pintura degraus menores parte superior 0,95 * 0,40 * 48 unidades + pintura degraus menores lateral 0,40 * 0,20 * 48 unidades + pintura degraus menores lateral escada do meio 0,40 * 0,20 * 7</t>
  </si>
  <si>
    <t>laterais menores: 20,40 * 2 + 4,20 * 7 + 5,25 * 2 = 80,70 m * 2 lados = 161,40 m // laterais maiores: 4,20 * 6 + 4,85 * 2 + 2,50 * 2 + 3,10 * 10 + 0,90 + 26,40 + 5,19 * 2 + 5,20 * 2 + 10,10 *2 = 139,18 * 2 = 278,36 m // 439,76 m * 0,25 m perímetro do tubo</t>
  </si>
  <si>
    <t xml:space="preserve">4,20 m * 8 tubos + 4,80 * 2 tubos + 2,45 m * 11 tubos + 17,50 = 87,65 m * 2 lados quadra = 175,30 m tubo de 4 cm (perímetro tubo 0,25 m) total = 175,30 m * 0,25 m </t>
  </si>
  <si>
    <t>PINTURA TINTA DE ACABAMENTO (PIGMENTADA) A ÓLEO EM MADEIRA, 2 DEMÃOS. AF_01/2021</t>
  </si>
  <si>
    <t>APLICAÇÃO MANUAL DE TINTA LÁTEX ACRÍLICA EM PANOS COM PRESENÇA DE VÃOS DE EDIFÍCIOS DE MÚLTIPLOS
PAVIMENTOS, DUAS DEMÃOS. AF_03/2024 (paredes externas)</t>
  </si>
  <si>
    <t>APLICAÇÃO MANUAL DE TINTA LÁTEX ACRÍLICA EM PAREDE EXTERNAS DE CASAS, DUAS DEMÃOS. AF_03/2024 (paredes laterais)</t>
  </si>
  <si>
    <t>APLICAÇÃO MANUAL DE TINTA LÁTEX ACRÍLICA EM PANOS COM PRESENÇA DE VÃOS DE EDIFÍCIOS DE MÚLTIPLOS PAVIMENTOS, DUAS DEMÃOS. AF_03/2024 (paredes)</t>
  </si>
  <si>
    <t>APLICAÇÃO MANUAL DE TINTA LÁTEX ACRÍLICA EM PANOS COM PRESENÇA DE VÃOS DE EDIFÍCIOS DE MÚLTIPLOS PAVIMENTOS, DUAS DEMÃOS. AF_03/2024 (elemento vazado)</t>
  </si>
  <si>
    <t>Retirada de batente com guarnição e peças lineares em madeira, chumbados</t>
  </si>
  <si>
    <t>KIT DE PORTA DE MADEIRA TIPO MEXICANA, MACIÇA (PESADA OU SUPERPESADA), PADRÃO MÉDIO, 80X210CM, ESPESSURA DE 3,5CM, ITENS INCLUSOS: DOBRADIÇAS, MONTAGEM E INSTALAÇÃO DE BATENTE, FECHADURA COM EXECUÇÃO DO FURO - FORNECIMENTO E INSTALAÇÃO. AF_12/2019</t>
  </si>
  <si>
    <t>Retirada de vidro ou espelho com raspagem da massa ou retirada de baguete</t>
  </si>
  <si>
    <t>TUBO PVC, SÉRIE R, ÁGUA PLUVIAL, DN 150 MM, FORNECIDO E INSTALADO EM CONDUTORES VERTICAIS DE ÁGUAS PLUVIAIS. AF_06/2022</t>
  </si>
  <si>
    <t>Barra antipânico para porta dupla com travamentos horizontal e vertical completa, com maçaneta tipo alavanca e chave, para vãos de
1,40 a 1,60 m</t>
  </si>
  <si>
    <t>Revestimento em placa cerâmica esmaltada de 10x10 cm, assentado e rejuntado com argamassa industrializada</t>
  </si>
  <si>
    <t>Purificador de pressão elétrico em chapa eletrozincado pré-pintada e tampo em aço inoxidável, tipo coluna, capacidade de refrigeração de 2 l/h - conjugado</t>
  </si>
  <si>
    <t>APLICAÇÃO MANUAL DE TINTA LÁTEX ACRÍLICA EM PANOS COM PRESENÇA DE VÃOS DE EDIFÍCIOS DE MÚLTIPLOS PAVIMENTOS, DUAS DEMÃOS. AF_03/2024</t>
  </si>
  <si>
    <t>Regularização de piso com nata de cimento e adesivo de alto desempenho</t>
  </si>
  <si>
    <t>Junta de dilatação ou vedação com mastique de silicone, 1,0 x 0,5 cm - inclusive guia de apoio em polietileno</t>
  </si>
  <si>
    <t>TOTAL CONVÊNIO</t>
  </si>
  <si>
    <t>TOTAL RECURSO PRÓPRIO</t>
  </si>
  <si>
    <t>MESES DE EXECUÇÃO CONSIDERANDO O INÍCIO DA OBRA EM NOVEMBRO/2025</t>
  </si>
  <si>
    <t>CONVÊNIO</t>
  </si>
  <si>
    <t>RECURSO PRÓPRIO</t>
  </si>
  <si>
    <t xml:space="preserve">TOTAL RECURSO PRÓPRIO POR 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</si>
</sst>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7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0" fontId="0" fillId="0" borderId="0" xfId="0" applyNumberFormat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center"/>
    </xf>
    <xf numFmtId="44" fontId="0" fillId="0" borderId="0" xfId="0" applyNumberFormat="1"/>
    <xf numFmtId="2" fontId="7" fillId="0" borderId="2" xfId="1" applyNumberFormat="1" applyFont="1" applyFill="1" applyBorder="1" applyAlignment="1" applyProtection="1">
      <alignment horizontal="center" vertical="center" shrinkToFit="1"/>
    </xf>
    <xf numFmtId="0" fontId="2" fillId="0" borderId="0" xfId="0" applyFont="1"/>
    <xf numFmtId="44" fontId="8" fillId="0" borderId="1" xfId="1" applyNumberFormat="1" applyFont="1" applyFill="1" applyBorder="1" applyAlignment="1" applyProtection="1">
      <alignment horizontal="center" vertical="center" shrinkToFit="1"/>
    </xf>
    <xf numFmtId="0" fontId="6" fillId="2" borderId="14" xfId="0" applyFont="1" applyFill="1" applyBorder="1" applyAlignment="1">
      <alignment horizontal="center" vertical="center"/>
    </xf>
    <xf numFmtId="44" fontId="6" fillId="2" borderId="22" xfId="0" applyNumberFormat="1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44" fontId="5" fillId="2" borderId="21" xfId="0" applyNumberFormat="1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2" borderId="12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44" fontId="5" fillId="2" borderId="26" xfId="0" applyNumberFormat="1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5" fillId="2" borderId="12" xfId="0" applyFont="1" applyFill="1" applyBorder="1"/>
    <xf numFmtId="0" fontId="5" fillId="2" borderId="13" xfId="0" applyFont="1" applyFill="1" applyBorder="1"/>
    <xf numFmtId="0" fontId="5" fillId="2" borderId="13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vertical="center" wrapText="1"/>
    </xf>
    <xf numFmtId="44" fontId="6" fillId="2" borderId="29" xfId="0" applyNumberFormat="1" applyFont="1" applyFill="1" applyBorder="1" applyAlignment="1">
      <alignment vertical="center"/>
    </xf>
    <xf numFmtId="17" fontId="0" fillId="0" borderId="0" xfId="0" applyNumberFormat="1" applyAlignment="1">
      <alignment horizontal="center"/>
    </xf>
    <xf numFmtId="2" fontId="7" fillId="0" borderId="1" xfId="1" applyNumberFormat="1" applyFont="1" applyFill="1" applyBorder="1" applyAlignment="1" applyProtection="1">
      <alignment horizontal="center" vertical="center" shrinkToFit="1"/>
    </xf>
    <xf numFmtId="0" fontId="6" fillId="2" borderId="1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7" fillId="2" borderId="3" xfId="1" applyNumberFormat="1" applyFont="1" applyFill="1" applyBorder="1" applyAlignment="1" applyProtection="1">
      <alignment horizontal="center" vertical="center" shrinkToFit="1"/>
    </xf>
    <xf numFmtId="44" fontId="8" fillId="2" borderId="2" xfId="1" applyNumberFormat="1" applyFont="1" applyFill="1" applyBorder="1" applyAlignment="1" applyProtection="1">
      <alignment horizontal="center" vertical="center" shrinkToFit="1"/>
    </xf>
    <xf numFmtId="44" fontId="5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2" fontId="5" fillId="2" borderId="3" xfId="0" applyNumberFormat="1" applyFont="1" applyFill="1" applyBorder="1" applyAlignment="1">
      <alignment horizontal="center" vertical="center"/>
    </xf>
    <xf numFmtId="44" fontId="5" fillId="2" borderId="2" xfId="0" applyNumberFormat="1" applyFont="1" applyFill="1" applyBorder="1" applyAlignment="1">
      <alignment horizontal="center" vertical="center"/>
    </xf>
    <xf numFmtId="44" fontId="6" fillId="2" borderId="6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2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4" fontId="0" fillId="0" borderId="1" xfId="0" applyNumberFormat="1" applyBorder="1" applyAlignment="1">
      <alignment horizontal="center"/>
    </xf>
    <xf numFmtId="44" fontId="0" fillId="0" borderId="1" xfId="0" applyNumberFormat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31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2" fontId="10" fillId="3" borderId="36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7" fillId="0" borderId="37" xfId="0" applyFont="1" applyBorder="1" applyAlignment="1">
      <alignment vertical="center" wrapText="1"/>
    </xf>
    <xf numFmtId="2" fontId="0" fillId="0" borderId="36" xfId="0" applyNumberFormat="1" applyBorder="1" applyAlignment="1">
      <alignment horizontal="center" vertical="center"/>
    </xf>
    <xf numFmtId="44" fontId="2" fillId="2" borderId="25" xfId="0" applyNumberFormat="1" applyFont="1" applyFill="1" applyBorder="1" applyAlignment="1">
      <alignment horizontal="center"/>
    </xf>
    <xf numFmtId="0" fontId="5" fillId="0" borderId="41" xfId="0" applyFont="1" applyBorder="1" applyAlignment="1">
      <alignment horizontal="center" vertical="center"/>
    </xf>
    <xf numFmtId="44" fontId="8" fillId="0" borderId="36" xfId="1" applyNumberFormat="1" applyFont="1" applyFill="1" applyBorder="1" applyAlignment="1" applyProtection="1">
      <alignment horizontal="center" vertical="center" shrinkToFit="1"/>
    </xf>
    <xf numFmtId="0" fontId="9" fillId="0" borderId="36" xfId="0" applyFont="1" applyBorder="1" applyAlignment="1" applyProtection="1">
      <alignment horizontal="center" vertical="center" wrapText="1"/>
      <protection locked="0"/>
    </xf>
    <xf numFmtId="2" fontId="7" fillId="0" borderId="38" xfId="1" applyNumberFormat="1" applyFont="1" applyFill="1" applyBorder="1" applyAlignment="1" applyProtection="1">
      <alignment horizontal="center" vertical="center" shrinkToFit="1"/>
    </xf>
    <xf numFmtId="0" fontId="6" fillId="2" borderId="45" xfId="0" applyFont="1" applyFill="1" applyBorder="1" applyAlignment="1">
      <alignment horizontal="center" vertical="center" wrapText="1"/>
    </xf>
    <xf numFmtId="44" fontId="5" fillId="0" borderId="46" xfId="0" applyNumberFormat="1" applyFont="1" applyBorder="1" applyAlignment="1">
      <alignment horizontal="center" vertical="center"/>
    </xf>
    <xf numFmtId="44" fontId="6" fillId="2" borderId="42" xfId="0" applyNumberFormat="1" applyFont="1" applyFill="1" applyBorder="1" applyAlignment="1">
      <alignment vertical="center"/>
    </xf>
    <xf numFmtId="44" fontId="6" fillId="2" borderId="47" xfId="0" applyNumberFormat="1" applyFont="1" applyFill="1" applyBorder="1" applyAlignment="1">
      <alignment vertical="center"/>
    </xf>
    <xf numFmtId="2" fontId="0" fillId="0" borderId="35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4" fontId="6" fillId="2" borderId="33" xfId="0" applyNumberFormat="1" applyFont="1" applyFill="1" applyBorder="1" applyAlignment="1">
      <alignment vertical="center"/>
    </xf>
    <xf numFmtId="43" fontId="7" fillId="0" borderId="2" xfId="1" applyFont="1" applyBorder="1" applyAlignment="1" applyProtection="1">
      <alignment horizontal="center" vertical="center" shrinkToFit="1"/>
    </xf>
    <xf numFmtId="44" fontId="8" fillId="0" borderId="1" xfId="1" applyNumberFormat="1" applyFont="1" applyBorder="1" applyAlignment="1" applyProtection="1">
      <alignment horizontal="center" vertical="center" shrinkToFit="1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36" xfId="0" applyFont="1" applyFill="1" applyBorder="1" applyAlignment="1" applyProtection="1">
      <alignment horizontal="center" vertical="center" wrapText="1"/>
      <protection locked="0"/>
    </xf>
    <xf numFmtId="0" fontId="7" fillId="3" borderId="36" xfId="0" applyFont="1" applyFill="1" applyBorder="1" applyAlignment="1" applyProtection="1">
      <alignment horizontal="left" vertical="center" wrapText="1"/>
      <protection locked="0"/>
    </xf>
    <xf numFmtId="2" fontId="7" fillId="3" borderId="36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2" fontId="7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7" xfId="0" applyFont="1" applyFill="1" applyBorder="1"/>
    <xf numFmtId="0" fontId="5" fillId="2" borderId="28" xfId="0" applyFont="1" applyFill="1" applyBorder="1"/>
    <xf numFmtId="0" fontId="5" fillId="2" borderId="28" xfId="0" applyFont="1" applyFill="1" applyBorder="1" applyAlignment="1">
      <alignment horizontal="center"/>
    </xf>
    <xf numFmtId="2" fontId="0" fillId="0" borderId="2" xfId="0" applyNumberForma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2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4" borderId="38" xfId="0" applyFont="1" applyFill="1" applyBorder="1"/>
    <xf numFmtId="2" fontId="2" fillId="4" borderId="37" xfId="0" applyNumberFormat="1" applyFont="1" applyFill="1" applyBorder="1" applyAlignment="1">
      <alignment horizontal="center"/>
    </xf>
    <xf numFmtId="0" fontId="2" fillId="4" borderId="40" xfId="0" applyFont="1" applyFill="1" applyBorder="1" applyAlignment="1">
      <alignment horizontal="center"/>
    </xf>
    <xf numFmtId="0" fontId="2" fillId="5" borderId="21" xfId="0" applyFont="1" applyFill="1" applyBorder="1"/>
    <xf numFmtId="2" fontId="2" fillId="5" borderId="17" xfId="0" applyNumberFormat="1" applyFont="1" applyFill="1" applyBorder="1" applyAlignment="1">
      <alignment horizontal="center"/>
    </xf>
    <xf numFmtId="0" fontId="2" fillId="5" borderId="39" xfId="0" applyFont="1" applyFill="1" applyBorder="1" applyAlignment="1">
      <alignment horizontal="center"/>
    </xf>
    <xf numFmtId="2" fontId="0" fillId="6" borderId="0" xfId="0" applyNumberFormat="1" applyFill="1" applyAlignment="1">
      <alignment horizontal="center"/>
    </xf>
    <xf numFmtId="2" fontId="0" fillId="7" borderId="0" xfId="0" applyNumberFormat="1" applyFill="1" applyAlignment="1">
      <alignment horizontal="center"/>
    </xf>
    <xf numFmtId="0" fontId="2" fillId="6" borderId="38" xfId="0" applyFont="1" applyFill="1" applyBorder="1" applyAlignment="1">
      <alignment horizontal="left"/>
    </xf>
    <xf numFmtId="2" fontId="2" fillId="6" borderId="37" xfId="0" applyNumberFormat="1" applyFont="1" applyFill="1" applyBorder="1" applyAlignment="1">
      <alignment horizontal="center"/>
    </xf>
    <xf numFmtId="2" fontId="2" fillId="6" borderId="40" xfId="0" applyNumberFormat="1" applyFont="1" applyFill="1" applyBorder="1" applyAlignment="1">
      <alignment horizontal="center"/>
    </xf>
    <xf numFmtId="0" fontId="2" fillId="7" borderId="21" xfId="0" applyFont="1" applyFill="1" applyBorder="1" applyAlignment="1">
      <alignment horizontal="left"/>
    </xf>
    <xf numFmtId="2" fontId="2" fillId="7" borderId="17" xfId="0" applyNumberFormat="1" applyFont="1" applyFill="1" applyBorder="1" applyAlignment="1">
      <alignment horizontal="center"/>
    </xf>
    <xf numFmtId="2" fontId="2" fillId="7" borderId="39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36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44" fontId="6" fillId="2" borderId="24" xfId="0" applyNumberFormat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left" vertical="center" wrapText="1"/>
    </xf>
    <xf numFmtId="43" fontId="7" fillId="0" borderId="1" xfId="1" applyFont="1" applyBorder="1" applyAlignment="1" applyProtection="1">
      <alignment horizontal="center" vertical="center" shrinkToFit="1"/>
    </xf>
    <xf numFmtId="2" fontId="0" fillId="0" borderId="0" xfId="0" applyNumberFormat="1"/>
    <xf numFmtId="2" fontId="2" fillId="0" borderId="0" xfId="0" applyNumberFormat="1" applyFont="1" applyAlignment="1">
      <alignment horizontal="center"/>
    </xf>
    <xf numFmtId="2" fontId="2" fillId="0" borderId="0" xfId="0" applyNumberFormat="1" applyFont="1"/>
    <xf numFmtId="2" fontId="0" fillId="0" borderId="0" xfId="0" applyNumberFormat="1" applyAlignment="1">
      <alignment horizontal="left"/>
    </xf>
    <xf numFmtId="2" fontId="2" fillId="9" borderId="0" xfId="0" applyNumberFormat="1" applyFont="1" applyFill="1" applyAlignment="1">
      <alignment horizontal="center"/>
    </xf>
    <xf numFmtId="2" fontId="2" fillId="8" borderId="0" xfId="0" applyNumberFormat="1" applyFont="1" applyFill="1"/>
    <xf numFmtId="0" fontId="2" fillId="8" borderId="0" xfId="0" applyFont="1" applyFill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44" fontId="6" fillId="2" borderId="43" xfId="0" applyNumberFormat="1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9" borderId="0" xfId="0" applyFont="1" applyFill="1" applyAlignment="1">
      <alignment vertical="center" wrapText="1"/>
    </xf>
    <xf numFmtId="0" fontId="5" fillId="9" borderId="0" xfId="0" applyFont="1" applyFill="1" applyAlignment="1">
      <alignment horizontal="center" vertical="center"/>
    </xf>
    <xf numFmtId="2" fontId="5" fillId="9" borderId="0" xfId="0" applyNumberFormat="1" applyFont="1" applyFill="1" applyAlignment="1">
      <alignment horizontal="center" vertical="center"/>
    </xf>
    <xf numFmtId="44" fontId="5" fillId="9" borderId="24" xfId="0" applyNumberFormat="1" applyFont="1" applyFill="1" applyBorder="1" applyAlignment="1">
      <alignment horizontal="center" vertical="center"/>
    </xf>
    <xf numFmtId="44" fontId="5" fillId="9" borderId="0" xfId="0" applyNumberFormat="1" applyFont="1" applyFill="1" applyAlignment="1">
      <alignment horizontal="center" vertical="center"/>
    </xf>
    <xf numFmtId="44" fontId="6" fillId="9" borderId="43" xfId="0" applyNumberFormat="1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vertical="center" wrapText="1"/>
    </xf>
    <xf numFmtId="0" fontId="5" fillId="9" borderId="3" xfId="0" applyFont="1" applyFill="1" applyBorder="1" applyAlignment="1">
      <alignment horizontal="center" vertical="center"/>
    </xf>
    <xf numFmtId="44" fontId="5" fillId="9" borderId="2" xfId="0" applyNumberFormat="1" applyFont="1" applyFill="1" applyBorder="1" applyAlignment="1">
      <alignment horizontal="center" vertical="center"/>
    </xf>
    <xf numFmtId="44" fontId="5" fillId="9" borderId="3" xfId="0" applyNumberFormat="1" applyFont="1" applyFill="1" applyBorder="1" applyAlignment="1">
      <alignment horizontal="center" vertical="center"/>
    </xf>
    <xf numFmtId="44" fontId="6" fillId="9" borderId="6" xfId="0" applyNumberFormat="1" applyFont="1" applyFill="1" applyBorder="1" applyAlignment="1">
      <alignment horizontal="center" vertical="center"/>
    </xf>
    <xf numFmtId="2" fontId="0" fillId="9" borderId="3" xfId="0" applyNumberFormat="1" applyFill="1" applyBorder="1" applyAlignment="1">
      <alignment horizontal="center" vertical="center"/>
    </xf>
    <xf numFmtId="2" fontId="7" fillId="0" borderId="36" xfId="1" applyNumberFormat="1" applyFont="1" applyFill="1" applyBorder="1" applyAlignment="1" applyProtection="1">
      <alignment horizontal="center" vertical="center" shrinkToFit="1"/>
    </xf>
    <xf numFmtId="0" fontId="5" fillId="0" borderId="49" xfId="0" applyFont="1" applyBorder="1" applyAlignment="1">
      <alignment horizontal="center" vertical="center"/>
    </xf>
    <xf numFmtId="2" fontId="7" fillId="0" borderId="35" xfId="1" applyNumberFormat="1" applyFont="1" applyFill="1" applyBorder="1" applyAlignment="1" applyProtection="1">
      <alignment horizontal="center" vertical="center" shrinkToFit="1"/>
    </xf>
    <xf numFmtId="0" fontId="0" fillId="0" borderId="46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0" fillId="0" borderId="46" xfId="0" applyBorder="1" applyAlignment="1">
      <alignment vertical="center" wrapText="1"/>
    </xf>
    <xf numFmtId="0" fontId="0" fillId="9" borderId="6" xfId="0" applyFill="1" applyBorder="1" applyAlignment="1">
      <alignment horizontal="left" vertical="center" wrapText="1"/>
    </xf>
    <xf numFmtId="0" fontId="0" fillId="0" borderId="48" xfId="0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0" fillId="9" borderId="6" xfId="0" applyFill="1" applyBorder="1" applyAlignment="1">
      <alignment vertical="center" wrapText="1"/>
    </xf>
    <xf numFmtId="0" fontId="5" fillId="0" borderId="46" xfId="0" applyFont="1" applyBorder="1" applyAlignment="1">
      <alignment vertical="center" wrapText="1"/>
    </xf>
    <xf numFmtId="0" fontId="5" fillId="9" borderId="46" xfId="0" applyFont="1" applyFill="1" applyBorder="1" applyAlignment="1">
      <alignment vertical="center" wrapText="1"/>
    </xf>
    <xf numFmtId="0" fontId="0" fillId="9" borderId="10" xfId="0" applyFill="1" applyBorder="1" applyAlignment="1">
      <alignment horizontal="center" vertical="center"/>
    </xf>
    <xf numFmtId="0" fontId="0" fillId="9" borderId="3" xfId="0" applyFill="1" applyBorder="1"/>
    <xf numFmtId="0" fontId="6" fillId="9" borderId="19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center" vertical="center"/>
    </xf>
    <xf numFmtId="0" fontId="0" fillId="9" borderId="33" xfId="0" applyFill="1" applyBorder="1" applyAlignment="1">
      <alignment horizontal="left" vertical="center" wrapText="1"/>
    </xf>
    <xf numFmtId="2" fontId="0" fillId="9" borderId="17" xfId="0" applyNumberFormat="1" applyFill="1" applyBorder="1" applyAlignment="1">
      <alignment horizontal="center" vertical="center"/>
    </xf>
    <xf numFmtId="0" fontId="5" fillId="9" borderId="37" xfId="0" applyFont="1" applyFill="1" applyBorder="1" applyAlignment="1">
      <alignment horizontal="center" vertical="center"/>
    </xf>
    <xf numFmtId="2" fontId="0" fillId="9" borderId="0" xfId="0" applyNumberFormat="1" applyFill="1" applyAlignment="1">
      <alignment horizontal="center" vertical="center"/>
    </xf>
    <xf numFmtId="0" fontId="0" fillId="9" borderId="43" xfId="0" applyFill="1" applyBorder="1" applyAlignment="1">
      <alignment horizontal="left" vertical="center" wrapText="1"/>
    </xf>
    <xf numFmtId="2" fontId="7" fillId="0" borderId="21" xfId="1" applyNumberFormat="1" applyFont="1" applyFill="1" applyBorder="1" applyAlignment="1" applyProtection="1">
      <alignment horizontal="center" vertical="center" shrinkToFit="1"/>
    </xf>
    <xf numFmtId="0" fontId="6" fillId="9" borderId="4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vertical="center" wrapText="1"/>
    </xf>
    <xf numFmtId="0" fontId="5" fillId="9" borderId="16" xfId="0" applyFont="1" applyFill="1" applyBorder="1" applyAlignment="1">
      <alignment horizontal="center" vertical="center"/>
    </xf>
    <xf numFmtId="2" fontId="0" fillId="9" borderId="16" xfId="0" applyNumberFormat="1" applyFill="1" applyBorder="1" applyAlignment="1">
      <alignment horizontal="center" vertical="center"/>
    </xf>
    <xf numFmtId="0" fontId="0" fillId="9" borderId="47" xfId="0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44" fontId="0" fillId="0" borderId="0" xfId="0" applyNumberFormat="1" applyAlignment="1">
      <alignment horizontal="right"/>
    </xf>
    <xf numFmtId="0" fontId="0" fillId="0" borderId="35" xfId="0" applyBorder="1" applyAlignment="1">
      <alignment horizontal="center"/>
    </xf>
    <xf numFmtId="44" fontId="6" fillId="2" borderId="1" xfId="0" applyNumberFormat="1" applyFont="1" applyFill="1" applyBorder="1" applyAlignment="1">
      <alignment horizontal="center" vertical="center"/>
    </xf>
    <xf numFmtId="44" fontId="6" fillId="2" borderId="25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44" fontId="5" fillId="0" borderId="1" xfId="0" applyNumberFormat="1" applyFont="1" applyBorder="1"/>
    <xf numFmtId="0" fontId="5" fillId="0" borderId="1" xfId="0" applyFont="1" applyBorder="1"/>
    <xf numFmtId="0" fontId="5" fillId="0" borderId="0" xfId="0" applyFont="1"/>
    <xf numFmtId="0" fontId="6" fillId="0" borderId="0" xfId="0" applyFont="1"/>
    <xf numFmtId="44" fontId="5" fillId="0" borderId="36" xfId="0" applyNumberFormat="1" applyFont="1" applyBorder="1" applyAlignment="1">
      <alignment horizontal="center" vertical="center"/>
    </xf>
    <xf numFmtId="0" fontId="5" fillId="0" borderId="36" xfId="0" applyFont="1" applyBorder="1"/>
    <xf numFmtId="44" fontId="5" fillId="0" borderId="36" xfId="0" applyNumberFormat="1" applyFont="1" applyBorder="1"/>
    <xf numFmtId="44" fontId="5" fillId="0" borderId="35" xfId="0" applyNumberFormat="1" applyFont="1" applyBorder="1" applyAlignment="1">
      <alignment vertical="center"/>
    </xf>
    <xf numFmtId="0" fontId="5" fillId="0" borderId="35" xfId="0" applyFont="1" applyBorder="1"/>
    <xf numFmtId="44" fontId="5" fillId="0" borderId="35" xfId="0" applyNumberFormat="1" applyFont="1" applyBorder="1"/>
    <xf numFmtId="44" fontId="5" fillId="0" borderId="35" xfId="0" applyNumberFormat="1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2" fontId="7" fillId="0" borderId="30" xfId="1" applyNumberFormat="1" applyFont="1" applyFill="1" applyBorder="1" applyAlignment="1" applyProtection="1">
      <alignment horizontal="center" vertical="center" shrinkToFit="1"/>
    </xf>
    <xf numFmtId="44" fontId="8" fillId="0" borderId="22" xfId="1" applyNumberFormat="1" applyFont="1" applyFill="1" applyBorder="1" applyAlignment="1" applyProtection="1">
      <alignment horizontal="center" vertical="center" shrinkToFit="1"/>
    </xf>
    <xf numFmtId="44" fontId="5" fillId="0" borderId="22" xfId="0" applyNumberFormat="1" applyFont="1" applyBorder="1" applyAlignment="1">
      <alignment horizontal="center" vertical="center"/>
    </xf>
    <xf numFmtId="44" fontId="5" fillId="0" borderId="45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0" fontId="0" fillId="0" borderId="45" xfId="0" applyBorder="1" applyAlignment="1">
      <alignment horizontal="left" vertical="center" wrapText="1"/>
    </xf>
    <xf numFmtId="17" fontId="6" fillId="2" borderId="1" xfId="0" applyNumberFormat="1" applyFont="1" applyFill="1" applyBorder="1" applyAlignment="1">
      <alignment horizontal="center" vertical="center"/>
    </xf>
    <xf numFmtId="44" fontId="6" fillId="4" borderId="38" xfId="0" applyNumberFormat="1" applyFont="1" applyFill="1" applyBorder="1" applyAlignment="1">
      <alignment horizontal="center" vertical="center"/>
    </xf>
    <xf numFmtId="44" fontId="6" fillId="4" borderId="1" xfId="0" applyNumberFormat="1" applyFont="1" applyFill="1" applyBorder="1" applyAlignment="1">
      <alignment vertical="center"/>
    </xf>
    <xf numFmtId="44" fontId="6" fillId="5" borderId="38" xfId="0" applyNumberFormat="1" applyFont="1" applyFill="1" applyBorder="1" applyAlignment="1">
      <alignment horizontal="center" vertical="center"/>
    </xf>
    <xf numFmtId="44" fontId="6" fillId="5" borderId="1" xfId="0" applyNumberFormat="1" applyFont="1" applyFill="1" applyBorder="1" applyAlignment="1">
      <alignment vertical="center"/>
    </xf>
    <xf numFmtId="44" fontId="5" fillId="4" borderId="1" xfId="0" applyNumberFormat="1" applyFont="1" applyFill="1" applyBorder="1" applyAlignment="1">
      <alignment vertical="center"/>
    </xf>
    <xf numFmtId="44" fontId="5" fillId="5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164" fontId="5" fillId="5" borderId="2" xfId="0" applyNumberFormat="1" applyFont="1" applyFill="1" applyBorder="1" applyAlignment="1">
      <alignment horizontal="center" vertical="center"/>
    </xf>
    <xf numFmtId="164" fontId="5" fillId="5" borderId="25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25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25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164" fontId="5" fillId="5" borderId="3" xfId="0" applyNumberFormat="1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6" fillId="2" borderId="2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4" fontId="6" fillId="2" borderId="27" xfId="0" applyNumberFormat="1" applyFont="1" applyFill="1" applyBorder="1" applyAlignment="1">
      <alignment horizontal="center" vertical="center" wrapText="1"/>
    </xf>
    <xf numFmtId="44" fontId="6" fillId="2" borderId="28" xfId="0" applyNumberFormat="1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48" xfId="0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2" fontId="2" fillId="8" borderId="0" xfId="0" applyNumberFormat="1" applyFont="1" applyFill="1" applyAlignment="1">
      <alignment horizontal="center"/>
    </xf>
    <xf numFmtId="0" fontId="2" fillId="0" borderId="17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Vírgula" xfId="1" builtinId="3"/>
  </cellStyles>
  <dxfs count="163"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numFmt numFmtId="30" formatCode="@"/>
      <fill>
        <patternFill>
          <bgColor rgb="FFFFFF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201082</xdr:colOff>
      <xdr:row>10</xdr:row>
      <xdr:rowOff>243417</xdr:rowOff>
    </xdr:from>
    <xdr:to>
      <xdr:col>3</xdr:col>
      <xdr:colOff>1344082</xdr:colOff>
      <xdr:row>10</xdr:row>
      <xdr:rowOff>243417</xdr:rowOff>
    </xdr:to>
    <xdr:cxnSp macro="">
      <xdr:nvCxnSpPr>
        <xdr:cNvPr id="3" name="Conector re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804832" y="2444750"/>
          <a:ext cx="1143000" cy="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194733</xdr:colOff>
      <xdr:row>11</xdr:row>
      <xdr:rowOff>247650</xdr:rowOff>
    </xdr:from>
    <xdr:to>
      <xdr:col>5</xdr:col>
      <xdr:colOff>1354666</xdr:colOff>
      <xdr:row>11</xdr:row>
      <xdr:rowOff>254000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4798483" y="3221567"/>
          <a:ext cx="4165600" cy="635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220133</xdr:colOff>
      <xdr:row>12</xdr:row>
      <xdr:rowOff>220133</xdr:rowOff>
    </xdr:from>
    <xdr:to>
      <xdr:col>4</xdr:col>
      <xdr:colOff>1344084</xdr:colOff>
      <xdr:row>12</xdr:row>
      <xdr:rowOff>222250</xdr:rowOff>
    </xdr:to>
    <xdr:cxnSp macro="">
      <xdr:nvCxnSpPr>
        <xdr:cNvPr id="5" name="Conector re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4823883" y="3966633"/>
          <a:ext cx="2626784" cy="2117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213782</xdr:colOff>
      <xdr:row>13</xdr:row>
      <xdr:rowOff>213784</xdr:rowOff>
    </xdr:from>
    <xdr:to>
      <xdr:col>6</xdr:col>
      <xdr:colOff>1337733</xdr:colOff>
      <xdr:row>13</xdr:row>
      <xdr:rowOff>215901</xdr:rowOff>
    </xdr:to>
    <xdr:cxnSp macro="">
      <xdr:nvCxnSpPr>
        <xdr:cNvPr id="8" name="Conector re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7823199" y="4732867"/>
          <a:ext cx="2626784" cy="2117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175683</xdr:colOff>
      <xdr:row>14</xdr:row>
      <xdr:rowOff>207433</xdr:rowOff>
    </xdr:from>
    <xdr:to>
      <xdr:col>8</xdr:col>
      <xdr:colOff>1299633</xdr:colOff>
      <xdr:row>14</xdr:row>
      <xdr:rowOff>209550</xdr:rowOff>
    </xdr:to>
    <xdr:cxnSp macro="">
      <xdr:nvCxnSpPr>
        <xdr:cNvPr id="9" name="Conector re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10790766" y="5499100"/>
          <a:ext cx="2626784" cy="2117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211666</xdr:colOff>
      <xdr:row>15</xdr:row>
      <xdr:rowOff>222250</xdr:rowOff>
    </xdr:from>
    <xdr:to>
      <xdr:col>8</xdr:col>
      <xdr:colOff>1335616</xdr:colOff>
      <xdr:row>15</xdr:row>
      <xdr:rowOff>224367</xdr:rowOff>
    </xdr:to>
    <xdr:cxnSp macro="">
      <xdr:nvCxnSpPr>
        <xdr:cNvPr id="10" name="Conector ret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10826749" y="6286500"/>
          <a:ext cx="2626784" cy="2117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222250</xdr:colOff>
      <xdr:row>18</xdr:row>
      <xdr:rowOff>211667</xdr:rowOff>
    </xdr:from>
    <xdr:to>
      <xdr:col>6</xdr:col>
      <xdr:colOff>1310216</xdr:colOff>
      <xdr:row>18</xdr:row>
      <xdr:rowOff>220134</xdr:rowOff>
    </xdr:to>
    <xdr:cxnSp macro="">
      <xdr:nvCxnSpPr>
        <xdr:cNvPr id="12" name="Conector re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6328833" y="7048500"/>
          <a:ext cx="4093633" cy="8467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205316</xdr:colOff>
      <xdr:row>19</xdr:row>
      <xdr:rowOff>226483</xdr:rowOff>
    </xdr:from>
    <xdr:to>
      <xdr:col>4</xdr:col>
      <xdr:colOff>1348316</xdr:colOff>
      <xdr:row>19</xdr:row>
      <xdr:rowOff>226483</xdr:rowOff>
    </xdr:to>
    <xdr:cxnSp macro="">
      <xdr:nvCxnSpPr>
        <xdr:cNvPr id="14" name="Conector re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6311899" y="7835900"/>
          <a:ext cx="1143000" cy="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173565</xdr:colOff>
      <xdr:row>20</xdr:row>
      <xdr:rowOff>226483</xdr:rowOff>
    </xdr:from>
    <xdr:to>
      <xdr:col>6</xdr:col>
      <xdr:colOff>1297516</xdr:colOff>
      <xdr:row>20</xdr:row>
      <xdr:rowOff>228600</xdr:rowOff>
    </xdr:to>
    <xdr:cxnSp macro="">
      <xdr:nvCxnSpPr>
        <xdr:cNvPr id="15" name="Conector re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7782982" y="7169150"/>
          <a:ext cx="2626784" cy="2117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167216</xdr:colOff>
      <xdr:row>21</xdr:row>
      <xdr:rowOff>209550</xdr:rowOff>
    </xdr:from>
    <xdr:to>
      <xdr:col>3</xdr:col>
      <xdr:colOff>1310216</xdr:colOff>
      <xdr:row>21</xdr:row>
      <xdr:rowOff>209550</xdr:rowOff>
    </xdr:to>
    <xdr:cxnSp macro="">
      <xdr:nvCxnSpPr>
        <xdr:cNvPr id="16" name="Conector re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4770966" y="7744883"/>
          <a:ext cx="1143000" cy="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232833</xdr:colOff>
      <xdr:row>22</xdr:row>
      <xdr:rowOff>201083</xdr:rowOff>
    </xdr:from>
    <xdr:to>
      <xdr:col>8</xdr:col>
      <xdr:colOff>1312332</xdr:colOff>
      <xdr:row>22</xdr:row>
      <xdr:rowOff>211666</xdr:rowOff>
    </xdr:to>
    <xdr:cxnSp macro="">
      <xdr:nvCxnSpPr>
        <xdr:cNvPr id="17" name="Conector re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flipV="1">
          <a:off x="9345083" y="10128250"/>
          <a:ext cx="4085166" cy="10583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230716</xdr:colOff>
      <xdr:row>23</xdr:row>
      <xdr:rowOff>262466</xdr:rowOff>
    </xdr:from>
    <xdr:to>
      <xdr:col>6</xdr:col>
      <xdr:colOff>1367680</xdr:colOff>
      <xdr:row>23</xdr:row>
      <xdr:rowOff>286852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0133" y="10962216"/>
          <a:ext cx="2639797" cy="2438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5-%20PROJETOS%20OBRAS%201/SA&#218;DE/POLICL&#205;NICA%20-%20n&#186;%20876221.2018_Proposta%2054192.2018/P&#211;S%20LICITA&#199;&#195;O/PO%20p&#243;s%20licita&#231;&#227;o_desprotegid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5-%20PROJETOS%20OBRAS%201/SA&#218;DE/POLICL&#205;NICA%20-%20n&#186;%20876221.2018_Proposta%2054192.2018/P&#211;S%20LICITA&#199;&#195;O/PLE_p&#243;s%20licita&#231;&#227;o_policlinica_desprotegida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5-%20PROJETOS%20OBRAS%201/SA&#218;DE/POLICL&#205;NICA%20-%20n&#186;%20876221.2018_Proposta%2054192.2018/P&#211;S%20LICITA&#199;&#195;O/ALTERA&#199;&#195;O%20EVENTOS/PLE_ALTERA&#199;&#195;O_EVENT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>
        <row r="37">
          <cell r="T37" t="str">
            <v>BDI 1</v>
          </cell>
          <cell r="U37" t="str">
            <v>BDI 2</v>
          </cell>
          <cell r="V37" t="str">
            <v>BDI 3</v>
          </cell>
          <cell r="W37" t="str">
            <v>BDI 4</v>
          </cell>
          <cell r="X37" t="str">
            <v>BDI 5</v>
          </cell>
        </row>
        <row r="38">
          <cell r="A38">
            <v>43952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Eventograma_e_Quantitativos"/>
      <sheetName val="Detalhamento"/>
      <sheetName val="Cronograma"/>
      <sheetName val="PLE"/>
      <sheetName val="Resumo_de_Acompanhamento"/>
      <sheetName val="CronoPrev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Eventograma_e_Quantitativos"/>
      <sheetName val="Detalhamento"/>
      <sheetName val="Cronograma"/>
      <sheetName val="PLE"/>
      <sheetName val="Resumo_de_Acompanhamento"/>
      <sheetName val="CronoPrev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opLeftCell="A25" zoomScale="90" zoomScaleNormal="90" workbookViewId="0">
      <selection activeCell="D29" sqref="D29:E29"/>
    </sheetView>
  </sheetViews>
  <sheetFormatPr defaultRowHeight="15" x14ac:dyDescent="0.25"/>
  <cols>
    <col min="2" max="2" width="39.28515625" customWidth="1"/>
    <col min="3" max="3" width="20.42578125" customWidth="1"/>
    <col min="4" max="9" width="22.5703125" customWidth="1"/>
    <col min="12" max="12" width="23.5703125" customWidth="1"/>
  </cols>
  <sheetData>
    <row r="1" spans="1:9" ht="15" customHeight="1" x14ac:dyDescent="0.25">
      <c r="A1" s="245" t="s">
        <v>674</v>
      </c>
      <c r="B1" s="245"/>
      <c r="C1" s="245"/>
      <c r="D1" s="245"/>
      <c r="E1" s="245"/>
      <c r="F1" s="245"/>
      <c r="G1" s="245"/>
      <c r="H1" s="245"/>
      <c r="I1" s="245"/>
    </row>
    <row r="2" spans="1:9" ht="15" customHeight="1" x14ac:dyDescent="0.25">
      <c r="A2" s="245"/>
      <c r="B2" s="245"/>
      <c r="C2" s="245"/>
      <c r="D2" s="245"/>
      <c r="E2" s="245"/>
      <c r="F2" s="245"/>
      <c r="G2" s="245"/>
      <c r="H2" s="245"/>
      <c r="I2" s="245"/>
    </row>
    <row r="5" spans="1:9" ht="15.75" x14ac:dyDescent="0.25">
      <c r="A5" s="189" t="s">
        <v>675</v>
      </c>
    </row>
    <row r="6" spans="1:9" ht="15.75" x14ac:dyDescent="0.25">
      <c r="A6" s="189" t="s">
        <v>676</v>
      </c>
    </row>
    <row r="7" spans="1:9" ht="15.75" x14ac:dyDescent="0.25">
      <c r="A7" s="190"/>
    </row>
    <row r="8" spans="1:9" ht="31.5" customHeight="1" x14ac:dyDescent="0.25">
      <c r="A8" s="230" t="s">
        <v>2</v>
      </c>
      <c r="B8" s="230" t="s">
        <v>5</v>
      </c>
      <c r="C8" s="230" t="s">
        <v>9</v>
      </c>
      <c r="D8" s="218" t="s">
        <v>667</v>
      </c>
      <c r="E8" s="218" t="s">
        <v>669</v>
      </c>
      <c r="F8" s="218" t="s">
        <v>670</v>
      </c>
      <c r="G8" s="218" t="s">
        <v>671</v>
      </c>
      <c r="H8" s="218" t="s">
        <v>672</v>
      </c>
      <c r="I8" s="218" t="s">
        <v>673</v>
      </c>
    </row>
    <row r="9" spans="1:9" ht="36.75" customHeight="1" x14ac:dyDescent="0.25">
      <c r="A9" s="230"/>
      <c r="B9" s="230"/>
      <c r="C9" s="231"/>
      <c r="D9" s="219"/>
      <c r="E9" s="219"/>
      <c r="F9" s="219"/>
      <c r="G9" s="219"/>
      <c r="H9" s="219"/>
      <c r="I9" s="219"/>
    </row>
    <row r="10" spans="1:9" ht="36.75" customHeight="1" x14ac:dyDescent="0.25">
      <c r="A10" s="235" t="s">
        <v>677</v>
      </c>
      <c r="B10" s="236"/>
      <c r="C10" s="236"/>
      <c r="D10" s="236"/>
      <c r="E10" s="236"/>
      <c r="F10" s="236"/>
      <c r="G10" s="236"/>
      <c r="H10" s="236"/>
      <c r="I10" s="237"/>
    </row>
    <row r="11" spans="1:9" ht="46.5" customHeight="1" x14ac:dyDescent="0.25">
      <c r="A11" s="185" t="s">
        <v>1</v>
      </c>
      <c r="B11" s="20" t="s">
        <v>23</v>
      </c>
      <c r="C11" s="197">
        <f>'Plan3 - ATUALIZADA'!I11</f>
        <v>3769.68</v>
      </c>
      <c r="D11" s="196">
        <f>C11</f>
        <v>3769.68</v>
      </c>
      <c r="E11" s="195"/>
      <c r="F11" s="195"/>
      <c r="G11" s="195"/>
      <c r="H11" s="195"/>
      <c r="I11" s="195"/>
    </row>
    <row r="12" spans="1:9" ht="46.5" customHeight="1" x14ac:dyDescent="0.25">
      <c r="A12" s="185" t="s">
        <v>97</v>
      </c>
      <c r="B12" s="20" t="s">
        <v>329</v>
      </c>
      <c r="C12" s="6">
        <f>'Plan3 - ATUALIZADA'!I13</f>
        <v>79647.7</v>
      </c>
      <c r="D12" s="187">
        <f>C12/3</f>
        <v>26549.233333333334</v>
      </c>
      <c r="E12" s="187">
        <f>C12/3</f>
        <v>26549.233333333334</v>
      </c>
      <c r="F12" s="187">
        <f>C12/3</f>
        <v>26549.233333333334</v>
      </c>
      <c r="G12" s="188"/>
      <c r="H12" s="188"/>
      <c r="I12" s="188"/>
    </row>
    <row r="13" spans="1:9" ht="46.5" customHeight="1" x14ac:dyDescent="0.25">
      <c r="A13" s="185" t="s">
        <v>374</v>
      </c>
      <c r="B13" s="20" t="s">
        <v>30</v>
      </c>
      <c r="C13" s="6">
        <f>'Plan3 - ATUALIZADA'!I37</f>
        <v>17373.560000000001</v>
      </c>
      <c r="D13" s="187">
        <f>C13/2</f>
        <v>8686.7800000000007</v>
      </c>
      <c r="E13" s="187">
        <f>C13/2</f>
        <v>8686.7800000000007</v>
      </c>
      <c r="F13" s="188"/>
      <c r="G13" s="188"/>
      <c r="H13" s="188"/>
      <c r="I13" s="188"/>
    </row>
    <row r="14" spans="1:9" ht="46.5" customHeight="1" x14ac:dyDescent="0.25">
      <c r="A14" s="185" t="s">
        <v>382</v>
      </c>
      <c r="B14" s="20" t="s">
        <v>48</v>
      </c>
      <c r="C14" s="6">
        <f>'Plan3 - ATUALIZADA'!I45</f>
        <v>82787.75</v>
      </c>
      <c r="D14" s="188"/>
      <c r="E14" s="188"/>
      <c r="F14" s="187">
        <f>C14/2</f>
        <v>41393.875</v>
      </c>
      <c r="G14" s="187">
        <f>C14/2</f>
        <v>41393.875</v>
      </c>
      <c r="H14" s="188"/>
      <c r="I14" s="188"/>
    </row>
    <row r="15" spans="1:9" ht="46.5" customHeight="1" x14ac:dyDescent="0.25">
      <c r="A15" s="185" t="s">
        <v>406</v>
      </c>
      <c r="B15" s="20" t="s">
        <v>35</v>
      </c>
      <c r="C15" s="6">
        <f>'Plan3 - ATUALIZADA'!I66</f>
        <v>65870.05</v>
      </c>
      <c r="D15" s="188"/>
      <c r="E15" s="188"/>
      <c r="F15" s="188"/>
      <c r="G15" s="188"/>
      <c r="H15" s="187">
        <f>C15/2</f>
        <v>32935.025000000001</v>
      </c>
      <c r="I15" s="187">
        <f>C15/2</f>
        <v>32935.025000000001</v>
      </c>
    </row>
    <row r="16" spans="1:9" ht="46.5" customHeight="1" x14ac:dyDescent="0.25">
      <c r="A16" s="185" t="s">
        <v>419</v>
      </c>
      <c r="B16" s="20" t="s">
        <v>45</v>
      </c>
      <c r="C16" s="191">
        <f>'Plan3 - ATUALIZADA'!I83</f>
        <v>20208.29</v>
      </c>
      <c r="D16" s="192"/>
      <c r="E16" s="192"/>
      <c r="F16" s="192"/>
      <c r="G16" s="192"/>
      <c r="H16" s="193">
        <f>C16/2</f>
        <v>10104.145</v>
      </c>
      <c r="I16" s="193">
        <f>C16/2</f>
        <v>10104.145</v>
      </c>
    </row>
    <row r="17" spans="1:12" ht="46.5" customHeight="1" x14ac:dyDescent="0.25">
      <c r="A17" s="223" t="s">
        <v>705</v>
      </c>
      <c r="B17" s="225"/>
      <c r="C17" s="211">
        <f>SUM(C11:C16)</f>
        <v>269657.02999999997</v>
      </c>
      <c r="D17" s="212">
        <f>SUM(D11:D16)</f>
        <v>39005.693333333336</v>
      </c>
      <c r="E17" s="212">
        <f t="shared" ref="E17:I17" si="0">SUM(E11:E16)</f>
        <v>35236.013333333336</v>
      </c>
      <c r="F17" s="212">
        <f t="shared" si="0"/>
        <v>67943.108333333337</v>
      </c>
      <c r="G17" s="212">
        <f t="shared" si="0"/>
        <v>41393.875</v>
      </c>
      <c r="H17" s="212">
        <f t="shared" si="0"/>
        <v>43039.17</v>
      </c>
      <c r="I17" s="212">
        <f t="shared" si="0"/>
        <v>43039.17</v>
      </c>
    </row>
    <row r="18" spans="1:12" ht="54.75" customHeight="1" x14ac:dyDescent="0.25">
      <c r="A18" s="232" t="s">
        <v>98</v>
      </c>
      <c r="B18" s="233"/>
      <c r="C18" s="233"/>
      <c r="D18" s="233"/>
      <c r="E18" s="233"/>
      <c r="F18" s="233"/>
      <c r="G18" s="233"/>
      <c r="H18" s="233"/>
      <c r="I18" s="234"/>
    </row>
    <row r="19" spans="1:12" ht="46.5" customHeight="1" x14ac:dyDescent="0.25">
      <c r="A19" s="185" t="s">
        <v>439</v>
      </c>
      <c r="B19" s="116" t="s">
        <v>442</v>
      </c>
      <c r="C19" s="194">
        <f>'Plan3 - ATUALIZADA'!I94</f>
        <v>244601.11</v>
      </c>
      <c r="D19" s="195"/>
      <c r="E19" s="196">
        <f>C19/3</f>
        <v>81533.703333333324</v>
      </c>
      <c r="F19" s="196">
        <f>C19/3</f>
        <v>81533.703333333324</v>
      </c>
      <c r="G19" s="196">
        <f>C19/3</f>
        <v>81533.703333333324</v>
      </c>
      <c r="H19" s="195"/>
      <c r="I19" s="195"/>
    </row>
    <row r="20" spans="1:12" ht="46.5" customHeight="1" x14ac:dyDescent="0.25">
      <c r="A20" s="185" t="s">
        <v>476</v>
      </c>
      <c r="B20" s="20" t="s">
        <v>131</v>
      </c>
      <c r="C20" s="6">
        <f>'Plan3 - ATUALIZADA'!I138</f>
        <v>14117.57</v>
      </c>
      <c r="D20" s="188"/>
      <c r="E20" s="187">
        <f>C20</f>
        <v>14117.57</v>
      </c>
      <c r="F20" s="188"/>
      <c r="G20" s="188"/>
      <c r="H20" s="188"/>
      <c r="I20" s="188"/>
    </row>
    <row r="21" spans="1:12" ht="46.5" customHeight="1" x14ac:dyDescent="0.25">
      <c r="A21" s="185" t="s">
        <v>492</v>
      </c>
      <c r="B21" s="20" t="s">
        <v>122</v>
      </c>
      <c r="C21" s="6">
        <f>'Plan3 - ATUALIZADA'!I154</f>
        <v>121856.81999999999</v>
      </c>
      <c r="D21" s="188"/>
      <c r="E21" s="188"/>
      <c r="F21" s="187">
        <f>C21/2</f>
        <v>60928.409999999996</v>
      </c>
      <c r="G21" s="187">
        <f>C21/2</f>
        <v>60928.409999999996</v>
      </c>
      <c r="H21" s="188"/>
      <c r="I21" s="188"/>
    </row>
    <row r="22" spans="1:12" ht="46.5" customHeight="1" x14ac:dyDescent="0.25">
      <c r="A22" s="185" t="s">
        <v>499</v>
      </c>
      <c r="B22" s="20" t="s">
        <v>164</v>
      </c>
      <c r="C22" s="6">
        <f>'Plan3 - ATUALIZADA'!I161</f>
        <v>12055.45</v>
      </c>
      <c r="D22" s="187">
        <f>C22</f>
        <v>12055.45</v>
      </c>
      <c r="E22" s="188"/>
      <c r="F22" s="188"/>
      <c r="G22" s="188"/>
      <c r="H22" s="188"/>
      <c r="I22" s="188"/>
    </row>
    <row r="23" spans="1:12" ht="46.5" customHeight="1" x14ac:dyDescent="0.25">
      <c r="A23" s="185" t="s">
        <v>520</v>
      </c>
      <c r="B23" s="20" t="s">
        <v>48</v>
      </c>
      <c r="C23" s="6">
        <f>'Plan3 - ATUALIZADA'!I182</f>
        <v>97927.810000000012</v>
      </c>
      <c r="D23" s="188"/>
      <c r="E23" s="188"/>
      <c r="F23" s="188"/>
      <c r="G23" s="187">
        <f>C23/3</f>
        <v>32642.603333333336</v>
      </c>
      <c r="H23" s="187">
        <f>C23/3</f>
        <v>32642.603333333336</v>
      </c>
      <c r="I23" s="187">
        <f>C23/3</f>
        <v>32642.603333333336</v>
      </c>
    </row>
    <row r="24" spans="1:12" ht="46.5" customHeight="1" x14ac:dyDescent="0.25">
      <c r="A24" s="186" t="s">
        <v>525</v>
      </c>
      <c r="B24" s="114" t="s">
        <v>30</v>
      </c>
      <c r="C24" s="6">
        <f>'Plan3 - ATUALIZADA'!I214</f>
        <v>52243.560000000005</v>
      </c>
      <c r="D24" s="188"/>
      <c r="E24" s="188"/>
      <c r="F24" s="187">
        <f>C24/2</f>
        <v>26121.780000000002</v>
      </c>
      <c r="G24" s="187">
        <f>C24/2</f>
        <v>26121.780000000002</v>
      </c>
      <c r="H24" s="188"/>
      <c r="I24" s="188"/>
      <c r="L24" s="7">
        <f>D25+E25</f>
        <v>107706.72333333331</v>
      </c>
    </row>
    <row r="25" spans="1:12" ht="46.5" customHeight="1" x14ac:dyDescent="0.25">
      <c r="A25" s="220" t="s">
        <v>706</v>
      </c>
      <c r="B25" s="222"/>
      <c r="C25" s="213">
        <f>SUM(C19:C24)</f>
        <v>542802.32000000007</v>
      </c>
      <c r="D25" s="214">
        <f>SUM(D19:D24)</f>
        <v>12055.45</v>
      </c>
      <c r="E25" s="214">
        <f t="shared" ref="E25:I25" si="1">SUM(E19:E24)</f>
        <v>95651.273333333316</v>
      </c>
      <c r="F25" s="214">
        <f t="shared" si="1"/>
        <v>168583.89333333331</v>
      </c>
      <c r="G25" s="214">
        <f t="shared" si="1"/>
        <v>201226.49666666664</v>
      </c>
      <c r="H25" s="214">
        <f t="shared" si="1"/>
        <v>32642.603333333336</v>
      </c>
      <c r="I25" s="214">
        <f t="shared" si="1"/>
        <v>32642.603333333336</v>
      </c>
      <c r="L25" s="7">
        <f>I25+H25+G25+F25</f>
        <v>435095.59666666662</v>
      </c>
    </row>
    <row r="26" spans="1:12" ht="46.5" customHeight="1" x14ac:dyDescent="0.25">
      <c r="A26" s="238" t="s">
        <v>707</v>
      </c>
      <c r="B26" s="239"/>
      <c r="C26" s="240"/>
      <c r="D26" s="210">
        <v>45962</v>
      </c>
      <c r="E26" s="210">
        <v>45992</v>
      </c>
      <c r="F26" s="210">
        <v>46023</v>
      </c>
      <c r="G26" s="210">
        <v>46054</v>
      </c>
      <c r="H26" s="210">
        <v>46082</v>
      </c>
      <c r="I26" s="210">
        <v>46113</v>
      </c>
      <c r="L26" s="7"/>
    </row>
    <row r="27" spans="1:12" ht="46.5" customHeight="1" x14ac:dyDescent="0.25">
      <c r="A27" s="223" t="s">
        <v>708</v>
      </c>
      <c r="B27" s="224"/>
      <c r="C27" s="225"/>
      <c r="D27" s="215">
        <f>SUM(D11:D16)</f>
        <v>39005.693333333336</v>
      </c>
      <c r="E27" s="215">
        <f t="shared" ref="E27:I27" si="2">SUM(E11:E16)</f>
        <v>35236.013333333336</v>
      </c>
      <c r="F27" s="215">
        <f t="shared" si="2"/>
        <v>67943.108333333337</v>
      </c>
      <c r="G27" s="215">
        <f t="shared" si="2"/>
        <v>41393.875</v>
      </c>
      <c r="H27" s="215">
        <f t="shared" si="2"/>
        <v>43039.17</v>
      </c>
      <c r="I27" s="215">
        <f t="shared" si="2"/>
        <v>43039.17</v>
      </c>
      <c r="L27" s="7"/>
    </row>
    <row r="28" spans="1:12" ht="46.5" customHeight="1" x14ac:dyDescent="0.25">
      <c r="A28" s="220" t="s">
        <v>709</v>
      </c>
      <c r="B28" s="221"/>
      <c r="C28" s="222"/>
      <c r="D28" s="216">
        <f>SUM(D19:D24)</f>
        <v>12055.45</v>
      </c>
      <c r="E28" s="216">
        <f t="shared" ref="E28:I28" si="3">SUM(E19:E24)</f>
        <v>95651.273333333316</v>
      </c>
      <c r="F28" s="216">
        <f t="shared" si="3"/>
        <v>168583.89333333331</v>
      </c>
      <c r="G28" s="216">
        <f t="shared" si="3"/>
        <v>201226.49666666664</v>
      </c>
      <c r="H28" s="216">
        <f t="shared" si="3"/>
        <v>32642.603333333336</v>
      </c>
      <c r="I28" s="216">
        <f t="shared" si="3"/>
        <v>32642.603333333336</v>
      </c>
      <c r="L28" s="7"/>
    </row>
    <row r="29" spans="1:12" ht="46.5" customHeight="1" x14ac:dyDescent="0.25">
      <c r="A29" s="242" t="s">
        <v>710</v>
      </c>
      <c r="B29" s="243"/>
      <c r="C29" s="244"/>
      <c r="D29" s="226">
        <f>E28+D28</f>
        <v>107706.72333333331</v>
      </c>
      <c r="E29" s="227"/>
      <c r="F29" s="226">
        <f>I28+H28+G28+F28</f>
        <v>435095.59666666662</v>
      </c>
      <c r="G29" s="241"/>
      <c r="H29" s="241"/>
      <c r="I29" s="227"/>
      <c r="L29" s="7"/>
    </row>
    <row r="30" spans="1:12" ht="45.75" customHeight="1" x14ac:dyDescent="0.25">
      <c r="A30" s="228" t="s">
        <v>668</v>
      </c>
      <c r="B30" s="229"/>
      <c r="C30" s="184">
        <f>C25+C17</f>
        <v>812459.35000000009</v>
      </c>
      <c r="D30" s="183">
        <f>D25+D17</f>
        <v>51061.143333333341</v>
      </c>
      <c r="E30" s="183">
        <f t="shared" ref="E30:I30" si="4">E25+E17</f>
        <v>130887.28666666665</v>
      </c>
      <c r="F30" s="183">
        <f t="shared" si="4"/>
        <v>236527.00166666665</v>
      </c>
      <c r="G30" s="183">
        <f t="shared" si="4"/>
        <v>242620.37166666664</v>
      </c>
      <c r="H30" s="183">
        <f t="shared" si="4"/>
        <v>75681.773333333331</v>
      </c>
      <c r="I30" s="183">
        <f t="shared" si="4"/>
        <v>75681.773333333331</v>
      </c>
      <c r="L30" s="7">
        <f>L25+L24</f>
        <v>542802.31999999995</v>
      </c>
    </row>
    <row r="31" spans="1:12" x14ac:dyDescent="0.25">
      <c r="A31" s="4"/>
      <c r="B31" s="4"/>
      <c r="C31" s="4"/>
    </row>
    <row r="32" spans="1:12" x14ac:dyDescent="0.25">
      <c r="A32" s="4"/>
      <c r="B32" s="4"/>
      <c r="C32" s="4"/>
    </row>
    <row r="33" spans="1:9" x14ac:dyDescent="0.25">
      <c r="A33" s="4"/>
      <c r="B33" s="4"/>
      <c r="C33" s="4"/>
    </row>
    <row r="34" spans="1:9" x14ac:dyDescent="0.25">
      <c r="C34" s="4"/>
      <c r="E34" s="217" t="s">
        <v>678</v>
      </c>
      <c r="F34" s="217"/>
      <c r="G34" s="217"/>
      <c r="H34" s="217"/>
      <c r="I34" s="217"/>
    </row>
    <row r="35" spans="1:9" x14ac:dyDescent="0.25">
      <c r="E35" s="4"/>
      <c r="F35" s="111"/>
      <c r="G35" s="7"/>
    </row>
    <row r="36" spans="1:9" x14ac:dyDescent="0.25">
      <c r="E36" s="4"/>
      <c r="F36" s="111"/>
      <c r="G36" s="7"/>
    </row>
    <row r="37" spans="1:9" x14ac:dyDescent="0.25">
      <c r="B37" s="217"/>
      <c r="C37" s="217"/>
      <c r="D37" s="217"/>
      <c r="E37" s="217" t="s">
        <v>243</v>
      </c>
      <c r="F37" s="217"/>
      <c r="G37" s="217"/>
      <c r="H37" s="217"/>
      <c r="I37" s="217"/>
    </row>
    <row r="38" spans="1:9" x14ac:dyDescent="0.25">
      <c r="B38" s="217"/>
      <c r="C38" s="217"/>
      <c r="D38" s="217"/>
      <c r="E38" s="217" t="s">
        <v>236</v>
      </c>
      <c r="F38" s="217"/>
      <c r="G38" s="217"/>
      <c r="H38" s="217"/>
      <c r="I38" s="217"/>
    </row>
    <row r="39" spans="1:9" x14ac:dyDescent="0.25">
      <c r="C39" s="4"/>
      <c r="E39" s="217" t="s">
        <v>244</v>
      </c>
      <c r="F39" s="217"/>
      <c r="G39" s="217"/>
      <c r="H39" s="217"/>
      <c r="I39" s="217"/>
    </row>
    <row r="42" spans="1:9" x14ac:dyDescent="0.25">
      <c r="C42" s="7"/>
    </row>
  </sheetData>
  <mergeCells count="27">
    <mergeCell ref="A26:C26"/>
    <mergeCell ref="F29:I29"/>
    <mergeCell ref="A29:C29"/>
    <mergeCell ref="A1:I2"/>
    <mergeCell ref="H8:H9"/>
    <mergeCell ref="I8:I9"/>
    <mergeCell ref="B8:B9"/>
    <mergeCell ref="A17:B17"/>
    <mergeCell ref="A25:B25"/>
    <mergeCell ref="A18:I18"/>
    <mergeCell ref="A10:I10"/>
    <mergeCell ref="E37:I37"/>
    <mergeCell ref="E38:I38"/>
    <mergeCell ref="E39:I39"/>
    <mergeCell ref="D8:D9"/>
    <mergeCell ref="E8:E9"/>
    <mergeCell ref="F8:F9"/>
    <mergeCell ref="G8:G9"/>
    <mergeCell ref="B37:D37"/>
    <mergeCell ref="B38:D38"/>
    <mergeCell ref="A28:C28"/>
    <mergeCell ref="A27:C27"/>
    <mergeCell ref="D29:E29"/>
    <mergeCell ref="A30:B30"/>
    <mergeCell ref="E34:I34"/>
    <mergeCell ref="A8:A9"/>
    <mergeCell ref="C8:C9"/>
  </mergeCells>
  <pageMargins left="0.31496062992125984" right="0.31496062992125984" top="0.39370078740157483" bottom="0.39370078740157483" header="0.31496062992125984" footer="0.31496062992125984"/>
  <pageSetup paperSize="9" scale="48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40"/>
  <sheetViews>
    <sheetView tabSelected="1" topLeftCell="A217" zoomScale="90" zoomScaleNormal="90" workbookViewId="0">
      <selection activeCell="F214" sqref="F214"/>
    </sheetView>
  </sheetViews>
  <sheetFormatPr defaultRowHeight="15" x14ac:dyDescent="0.25"/>
  <cols>
    <col min="2" max="2" width="10.28515625" customWidth="1"/>
    <col min="3" max="3" width="12" customWidth="1"/>
    <col min="4" max="4" width="64" customWidth="1"/>
    <col min="5" max="5" width="9.85546875" style="4" customWidth="1"/>
    <col min="6" max="6" width="9.5703125" style="111" bestFit="1" customWidth="1"/>
    <col min="7" max="7" width="14.28515625" style="7" customWidth="1"/>
    <col min="8" max="8" width="14" customWidth="1"/>
    <col min="9" max="9" width="18.7109375" customWidth="1"/>
  </cols>
  <sheetData>
    <row r="1" spans="1:10" ht="15" customHeight="1" x14ac:dyDescent="0.25">
      <c r="A1" s="245" t="s">
        <v>12</v>
      </c>
      <c r="B1" s="245"/>
      <c r="C1" s="245"/>
      <c r="D1" s="245"/>
      <c r="E1" s="245"/>
      <c r="F1" s="245"/>
      <c r="G1" s="245"/>
      <c r="H1" s="245"/>
      <c r="I1" s="245"/>
    </row>
    <row r="2" spans="1:10" ht="15" customHeight="1" x14ac:dyDescent="0.25">
      <c r="A2" s="245"/>
      <c r="B2" s="245"/>
      <c r="C2" s="245"/>
      <c r="D2" s="245"/>
      <c r="E2" s="245"/>
      <c r="F2" s="245"/>
      <c r="G2" s="245"/>
      <c r="H2" s="245"/>
      <c r="I2" s="245"/>
    </row>
    <row r="3" spans="1:10" x14ac:dyDescent="0.25">
      <c r="E3" s="246" t="s">
        <v>21</v>
      </c>
      <c r="F3" s="246"/>
      <c r="G3" s="33">
        <v>45748</v>
      </c>
    </row>
    <row r="4" spans="1:10" x14ac:dyDescent="0.25">
      <c r="E4" s="246" t="s">
        <v>0</v>
      </c>
      <c r="F4" s="246"/>
      <c r="G4" s="33">
        <v>45748</v>
      </c>
    </row>
    <row r="5" spans="1:10" x14ac:dyDescent="0.25">
      <c r="A5" t="s">
        <v>57</v>
      </c>
      <c r="E5" s="246" t="s">
        <v>14</v>
      </c>
      <c r="F5" s="246"/>
      <c r="G5" s="4">
        <v>197</v>
      </c>
    </row>
    <row r="6" spans="1:10" x14ac:dyDescent="0.25">
      <c r="A6" t="s">
        <v>58</v>
      </c>
      <c r="E6" s="246" t="s">
        <v>75</v>
      </c>
      <c r="F6" s="246"/>
      <c r="G6" s="33">
        <v>45689</v>
      </c>
    </row>
    <row r="7" spans="1:10" ht="15.75" thickBot="1" x14ac:dyDescent="0.3">
      <c r="A7" s="9" t="s">
        <v>13</v>
      </c>
      <c r="B7" s="3">
        <v>0.2354</v>
      </c>
    </row>
    <row r="8" spans="1:10" ht="31.5" customHeight="1" thickBot="1" x14ac:dyDescent="0.3">
      <c r="A8" s="250" t="s">
        <v>2</v>
      </c>
      <c r="B8" s="252" t="s">
        <v>3</v>
      </c>
      <c r="C8" s="252" t="s">
        <v>4</v>
      </c>
      <c r="D8" s="254" t="s">
        <v>5</v>
      </c>
      <c r="E8" s="252" t="s">
        <v>6</v>
      </c>
      <c r="F8" s="254" t="s">
        <v>7</v>
      </c>
      <c r="G8" s="247" t="s">
        <v>22</v>
      </c>
      <c r="H8" s="248"/>
      <c r="I8" s="249"/>
    </row>
    <row r="9" spans="1:10" ht="36.75" customHeight="1" thickBot="1" x14ac:dyDescent="0.3">
      <c r="A9" s="251"/>
      <c r="B9" s="253"/>
      <c r="C9" s="253"/>
      <c r="D9" s="255"/>
      <c r="E9" s="253"/>
      <c r="F9" s="255"/>
      <c r="G9" s="12" t="s">
        <v>8</v>
      </c>
      <c r="H9" s="13" t="s">
        <v>10</v>
      </c>
      <c r="I9" s="70" t="s">
        <v>9</v>
      </c>
    </row>
    <row r="10" spans="1:10" ht="36.75" customHeight="1" x14ac:dyDescent="0.25">
      <c r="A10" s="259" t="s">
        <v>677</v>
      </c>
      <c r="B10" s="260"/>
      <c r="C10" s="260"/>
      <c r="D10" s="260"/>
      <c r="E10" s="260"/>
      <c r="F10" s="261"/>
      <c r="G10" s="120"/>
      <c r="H10" s="119"/>
      <c r="I10" s="132">
        <f>I11+I13+I37+I45+I66+I83</f>
        <v>269657.02999999997</v>
      </c>
    </row>
    <row r="11" spans="1:10" ht="37.5" customHeight="1" x14ac:dyDescent="0.25">
      <c r="A11" s="35" t="s">
        <v>1</v>
      </c>
      <c r="B11" s="40"/>
      <c r="C11" s="40"/>
      <c r="D11" s="41" t="s">
        <v>23</v>
      </c>
      <c r="E11" s="36"/>
      <c r="F11" s="36"/>
      <c r="G11" s="43"/>
      <c r="H11" s="39"/>
      <c r="I11" s="44">
        <f>SUM(I12:I12)</f>
        <v>3769.68</v>
      </c>
    </row>
    <row r="12" spans="1:10" ht="31.5" x14ac:dyDescent="0.25">
      <c r="A12" s="19" t="s">
        <v>357</v>
      </c>
      <c r="B12" s="5" t="s">
        <v>0</v>
      </c>
      <c r="C12" s="5">
        <v>103689</v>
      </c>
      <c r="D12" s="20" t="s">
        <v>248</v>
      </c>
      <c r="E12" s="5" t="s">
        <v>16</v>
      </c>
      <c r="F12" s="8">
        <f>'MEMÓRIA CÁLCULO CONVÊNIO'!D5</f>
        <v>6.48</v>
      </c>
      <c r="G12" s="10">
        <v>470.89</v>
      </c>
      <c r="H12" s="6">
        <f>ROUND(G12*(1+$B$7),2)</f>
        <v>581.74</v>
      </c>
      <c r="I12" s="71">
        <f>ROUND(H12*F12,2)</f>
        <v>3769.68</v>
      </c>
      <c r="J12" t="s">
        <v>19</v>
      </c>
    </row>
    <row r="13" spans="1:10" ht="33.75" customHeight="1" x14ac:dyDescent="0.25">
      <c r="A13" s="35" t="s">
        <v>97</v>
      </c>
      <c r="B13" s="40"/>
      <c r="C13" s="40"/>
      <c r="D13" s="41" t="s">
        <v>329</v>
      </c>
      <c r="E13" s="36"/>
      <c r="F13" s="37"/>
      <c r="G13" s="38"/>
      <c r="H13" s="39"/>
      <c r="I13" s="44">
        <f>I14+I20+I22+I28+I31+I33+I35</f>
        <v>79647.7</v>
      </c>
    </row>
    <row r="14" spans="1:10" ht="15.75" x14ac:dyDescent="0.25">
      <c r="A14" s="133" t="s">
        <v>358</v>
      </c>
      <c r="B14" s="134"/>
      <c r="C14" s="134"/>
      <c r="D14" s="135" t="s">
        <v>33</v>
      </c>
      <c r="E14" s="136"/>
      <c r="F14" s="137"/>
      <c r="G14" s="138"/>
      <c r="H14" s="139"/>
      <c r="I14" s="140">
        <f>SUM(I15:I19)</f>
        <v>41451.880000000005</v>
      </c>
    </row>
    <row r="15" spans="1:10" ht="47.25" x14ac:dyDescent="0.25">
      <c r="A15" s="19" t="s">
        <v>359</v>
      </c>
      <c r="B15" s="5" t="s">
        <v>0</v>
      </c>
      <c r="C15" s="5">
        <v>95622</v>
      </c>
      <c r="D15" s="20" t="s">
        <v>679</v>
      </c>
      <c r="E15" s="5" t="s">
        <v>16</v>
      </c>
      <c r="F15" s="8">
        <f>'MEMÓRIA CÁLCULO CONVÊNIO'!D8</f>
        <v>1273.8025</v>
      </c>
      <c r="G15" s="10">
        <v>17.28</v>
      </c>
      <c r="H15" s="6">
        <f t="shared" ref="H15:H19" si="0">ROUND(G15*(1+$B$7),2)</f>
        <v>21.35</v>
      </c>
      <c r="I15" s="71">
        <f>ROUND(H15*F15,2)-0.05</f>
        <v>27195.63</v>
      </c>
    </row>
    <row r="16" spans="1:10" ht="47.25" x14ac:dyDescent="0.25">
      <c r="A16" s="19" t="s">
        <v>360</v>
      </c>
      <c r="B16" s="5" t="s">
        <v>0</v>
      </c>
      <c r="C16" s="5">
        <v>95622</v>
      </c>
      <c r="D16" s="20" t="s">
        <v>680</v>
      </c>
      <c r="E16" s="5" t="s">
        <v>16</v>
      </c>
      <c r="F16" s="8">
        <f>'MEMÓRIA CÁLCULO CONVÊNIO'!D9</f>
        <v>207.1</v>
      </c>
      <c r="G16" s="10">
        <v>17.28</v>
      </c>
      <c r="H16" s="6">
        <f t="shared" si="0"/>
        <v>21.35</v>
      </c>
      <c r="I16" s="71">
        <f t="shared" ref="I16:I18" si="1">ROUND(H16*F16,2)</f>
        <v>4421.59</v>
      </c>
    </row>
    <row r="17" spans="1:9" ht="31.5" x14ac:dyDescent="0.25">
      <c r="A17" s="19" t="s">
        <v>361</v>
      </c>
      <c r="B17" s="5" t="s">
        <v>0</v>
      </c>
      <c r="C17" s="5">
        <v>102217</v>
      </c>
      <c r="D17" s="20" t="s">
        <v>327</v>
      </c>
      <c r="E17" s="5" t="s">
        <v>16</v>
      </c>
      <c r="F17" s="8">
        <f>'MEMÓRIA CÁLCULO CONVÊNIO'!D10</f>
        <v>23.800000000000004</v>
      </c>
      <c r="G17" s="10">
        <v>21.25</v>
      </c>
      <c r="H17" s="6">
        <f t="shared" si="0"/>
        <v>26.25</v>
      </c>
      <c r="I17" s="71">
        <f t="shared" si="1"/>
        <v>624.75</v>
      </c>
    </row>
    <row r="18" spans="1:9" ht="63" x14ac:dyDescent="0.25">
      <c r="A18" s="19" t="s">
        <v>362</v>
      </c>
      <c r="B18" s="5" t="s">
        <v>0</v>
      </c>
      <c r="C18" s="5">
        <v>100758</v>
      </c>
      <c r="D18" s="20" t="s">
        <v>328</v>
      </c>
      <c r="E18" s="5" t="s">
        <v>16</v>
      </c>
      <c r="F18" s="8">
        <f>'MEMÓRIA CÁLCULO CONVÊNIO'!D11</f>
        <v>102.08000000000001</v>
      </c>
      <c r="G18" s="10">
        <v>62.53</v>
      </c>
      <c r="H18" s="6">
        <f t="shared" si="0"/>
        <v>77.25</v>
      </c>
      <c r="I18" s="71">
        <f t="shared" si="1"/>
        <v>7885.68</v>
      </c>
    </row>
    <row r="19" spans="1:9" ht="15.75" x14ac:dyDescent="0.25">
      <c r="A19" s="19" t="s">
        <v>363</v>
      </c>
      <c r="B19" s="5" t="s">
        <v>14</v>
      </c>
      <c r="C19" s="5" t="s">
        <v>337</v>
      </c>
      <c r="D19" s="20" t="s">
        <v>336</v>
      </c>
      <c r="E19" s="5" t="s">
        <v>16</v>
      </c>
      <c r="F19" s="8">
        <f>'MEMÓRIA CÁLCULO CONVÊNIO'!D12</f>
        <v>21.725000000000001</v>
      </c>
      <c r="G19" s="10">
        <v>49.33</v>
      </c>
      <c r="H19" s="6">
        <f t="shared" si="0"/>
        <v>60.94</v>
      </c>
      <c r="I19" s="71">
        <f>ROUND(H19*F19,2)+0.31</f>
        <v>1324.23</v>
      </c>
    </row>
    <row r="20" spans="1:9" ht="15.75" x14ac:dyDescent="0.25">
      <c r="A20" s="133" t="s">
        <v>364</v>
      </c>
      <c r="B20" s="134"/>
      <c r="C20" s="134"/>
      <c r="D20" s="135" t="s">
        <v>338</v>
      </c>
      <c r="E20" s="136"/>
      <c r="F20" s="137"/>
      <c r="G20" s="138"/>
      <c r="H20" s="139"/>
      <c r="I20" s="140">
        <f>I21</f>
        <v>4909.9799999999996</v>
      </c>
    </row>
    <row r="21" spans="1:9" ht="31.5" x14ac:dyDescent="0.25">
      <c r="A21" s="19" t="s">
        <v>183</v>
      </c>
      <c r="B21" s="5" t="s">
        <v>0</v>
      </c>
      <c r="C21" s="5">
        <v>88489</v>
      </c>
      <c r="D21" s="20" t="s">
        <v>31</v>
      </c>
      <c r="E21" s="5" t="s">
        <v>16</v>
      </c>
      <c r="F21" s="8">
        <f>'MEMÓRIA CÁLCULO CONVÊNIO'!D14</f>
        <v>269.03999999999996</v>
      </c>
      <c r="G21" s="10">
        <v>14.77</v>
      </c>
      <c r="H21" s="6">
        <f>ROUND(G21*(1+$B$7),2)</f>
        <v>18.25</v>
      </c>
      <c r="I21" s="71">
        <f>ROUND(H21*F21,2)</f>
        <v>4909.9799999999996</v>
      </c>
    </row>
    <row r="22" spans="1:9" ht="15.75" x14ac:dyDescent="0.25">
      <c r="A22" s="133" t="s">
        <v>365</v>
      </c>
      <c r="B22" s="134"/>
      <c r="C22" s="134"/>
      <c r="D22" s="135" t="s">
        <v>339</v>
      </c>
      <c r="E22" s="136"/>
      <c r="F22" s="137"/>
      <c r="G22" s="138"/>
      <c r="H22" s="139"/>
      <c r="I22" s="140">
        <f>SUM(I23:I27)</f>
        <v>15947.139999999998</v>
      </c>
    </row>
    <row r="23" spans="1:9" ht="31.5" x14ac:dyDescent="0.25">
      <c r="A23" s="19" t="s">
        <v>184</v>
      </c>
      <c r="B23" s="5" t="s">
        <v>0</v>
      </c>
      <c r="C23" s="5">
        <v>88489</v>
      </c>
      <c r="D23" s="20" t="s">
        <v>342</v>
      </c>
      <c r="E23" s="5" t="s">
        <v>16</v>
      </c>
      <c r="F23" s="8">
        <v>298.8</v>
      </c>
      <c r="G23" s="10">
        <v>14.77</v>
      </c>
      <c r="H23" s="6">
        <f t="shared" ref="H23:H27" si="2">ROUND(G23*(1+$B$7),2)</f>
        <v>18.25</v>
      </c>
      <c r="I23" s="71">
        <f t="shared" ref="I23:I27" si="3">ROUND(H23*F23,2)</f>
        <v>5453.1</v>
      </c>
    </row>
    <row r="24" spans="1:9" ht="31.5" x14ac:dyDescent="0.25">
      <c r="A24" s="19" t="s">
        <v>435</v>
      </c>
      <c r="B24" s="5" t="s">
        <v>0</v>
      </c>
      <c r="C24" s="5">
        <v>88489</v>
      </c>
      <c r="D24" s="20" t="s">
        <v>343</v>
      </c>
      <c r="E24" s="5" t="s">
        <v>16</v>
      </c>
      <c r="F24" s="8">
        <v>360.54</v>
      </c>
      <c r="G24" s="10">
        <v>14.77</v>
      </c>
      <c r="H24" s="6">
        <f t="shared" si="2"/>
        <v>18.25</v>
      </c>
      <c r="I24" s="71">
        <f t="shared" si="3"/>
        <v>6579.86</v>
      </c>
    </row>
    <row r="25" spans="1:9" ht="31.5" x14ac:dyDescent="0.25">
      <c r="A25" s="19" t="s">
        <v>436</v>
      </c>
      <c r="B25" s="5" t="s">
        <v>0</v>
      </c>
      <c r="C25" s="5">
        <v>88489</v>
      </c>
      <c r="D25" s="20" t="s">
        <v>344</v>
      </c>
      <c r="E25" s="5" t="s">
        <v>16</v>
      </c>
      <c r="F25" s="8">
        <v>12.72</v>
      </c>
      <c r="G25" s="10">
        <v>14.77</v>
      </c>
      <c r="H25" s="6">
        <f t="shared" si="2"/>
        <v>18.25</v>
      </c>
      <c r="I25" s="71">
        <f t="shared" si="3"/>
        <v>232.14</v>
      </c>
    </row>
    <row r="26" spans="1:9" ht="47.25" x14ac:dyDescent="0.25">
      <c r="A26" s="19" t="s">
        <v>437</v>
      </c>
      <c r="B26" s="5" t="s">
        <v>0</v>
      </c>
      <c r="C26" s="5">
        <v>88489</v>
      </c>
      <c r="D26" s="20" t="s">
        <v>347</v>
      </c>
      <c r="E26" s="5" t="s">
        <v>16</v>
      </c>
      <c r="F26" s="8">
        <f>'MEMÓRIA CÁLCULO CONVÊNIO'!D19</f>
        <v>138.72</v>
      </c>
      <c r="G26" s="10">
        <v>14.77</v>
      </c>
      <c r="H26" s="6">
        <f t="shared" si="2"/>
        <v>18.25</v>
      </c>
      <c r="I26" s="71">
        <f t="shared" si="3"/>
        <v>2531.64</v>
      </c>
    </row>
    <row r="27" spans="1:9" ht="31.5" x14ac:dyDescent="0.25">
      <c r="A27" s="19" t="s">
        <v>438</v>
      </c>
      <c r="B27" s="5" t="s">
        <v>0</v>
      </c>
      <c r="C27" s="5">
        <v>88488</v>
      </c>
      <c r="D27" s="20" t="s">
        <v>348</v>
      </c>
      <c r="E27" s="5" t="s">
        <v>16</v>
      </c>
      <c r="F27" s="8">
        <f>'MEMÓRIA CÁLCULO CONVÊNIO'!D20</f>
        <v>52.41</v>
      </c>
      <c r="G27" s="10">
        <v>17.77</v>
      </c>
      <c r="H27" s="6">
        <f t="shared" si="2"/>
        <v>21.95</v>
      </c>
      <c r="I27" s="71">
        <f t="shared" si="3"/>
        <v>1150.4000000000001</v>
      </c>
    </row>
    <row r="28" spans="1:9" ht="15.75" x14ac:dyDescent="0.25">
      <c r="A28" s="133" t="s">
        <v>366</v>
      </c>
      <c r="B28" s="134"/>
      <c r="C28" s="134"/>
      <c r="D28" s="135" t="s">
        <v>340</v>
      </c>
      <c r="E28" s="136"/>
      <c r="F28" s="137"/>
      <c r="G28" s="138"/>
      <c r="H28" s="139"/>
      <c r="I28" s="140">
        <f>I29+I30</f>
        <v>1275.27</v>
      </c>
    </row>
    <row r="29" spans="1:9" ht="31.5" x14ac:dyDescent="0.25">
      <c r="A29" s="19" t="s">
        <v>367</v>
      </c>
      <c r="B29" s="5" t="s">
        <v>0</v>
      </c>
      <c r="C29" s="5">
        <v>88489</v>
      </c>
      <c r="D29" s="20" t="s">
        <v>31</v>
      </c>
      <c r="E29" s="5" t="s">
        <v>16</v>
      </c>
      <c r="F29" s="8">
        <f>'MEMÓRIA CÁLCULO CONVÊNIO'!D22</f>
        <v>31.39</v>
      </c>
      <c r="G29" s="10">
        <v>14.77</v>
      </c>
      <c r="H29" s="6">
        <f t="shared" ref="H29:H30" si="4">ROUND(G29*(1+$B$7),2)</f>
        <v>18.25</v>
      </c>
      <c r="I29" s="71">
        <f t="shared" ref="I29:I30" si="5">ROUND(H29*F29,2)</f>
        <v>572.87</v>
      </c>
    </row>
    <row r="30" spans="1:9" ht="31.5" x14ac:dyDescent="0.25">
      <c r="A30" s="19" t="s">
        <v>368</v>
      </c>
      <c r="B30" s="5" t="s">
        <v>0</v>
      </c>
      <c r="C30" s="5">
        <v>88488</v>
      </c>
      <c r="D30" s="20" t="s">
        <v>32</v>
      </c>
      <c r="E30" s="5" t="s">
        <v>16</v>
      </c>
      <c r="F30" s="8">
        <f>'MEMÓRIA CÁLCULO CONVÊNIO'!D23</f>
        <v>32</v>
      </c>
      <c r="G30" s="10">
        <v>17.77</v>
      </c>
      <c r="H30" s="6">
        <f t="shared" si="4"/>
        <v>21.95</v>
      </c>
      <c r="I30" s="71">
        <f t="shared" si="5"/>
        <v>702.4</v>
      </c>
    </row>
    <row r="31" spans="1:9" ht="15.75" x14ac:dyDescent="0.25">
      <c r="A31" s="133" t="s">
        <v>369</v>
      </c>
      <c r="B31" s="134"/>
      <c r="C31" s="134"/>
      <c r="D31" s="135" t="s">
        <v>345</v>
      </c>
      <c r="E31" s="136"/>
      <c r="F31" s="137"/>
      <c r="G31" s="138"/>
      <c r="H31" s="139"/>
      <c r="I31" s="140">
        <f>I32</f>
        <v>14916.83</v>
      </c>
    </row>
    <row r="32" spans="1:9" ht="31.5" x14ac:dyDescent="0.25">
      <c r="A32" s="19" t="s">
        <v>370</v>
      </c>
      <c r="B32" s="5" t="s">
        <v>0</v>
      </c>
      <c r="C32" s="5">
        <v>102217</v>
      </c>
      <c r="D32" s="20" t="s">
        <v>346</v>
      </c>
      <c r="E32" s="5" t="s">
        <v>16</v>
      </c>
      <c r="F32" s="8">
        <f>'MEMÓRIA CÁLCULO CONVÊNIO'!D25</f>
        <v>568.26</v>
      </c>
      <c r="G32" s="10">
        <v>21.25</v>
      </c>
      <c r="H32" s="6">
        <f>ROUND(G32*(1+$B$7),2)</f>
        <v>26.25</v>
      </c>
      <c r="I32" s="71">
        <f>ROUND(H32*F32,2)</f>
        <v>14916.83</v>
      </c>
    </row>
    <row r="33" spans="1:9" ht="15.75" x14ac:dyDescent="0.25">
      <c r="A33" s="133" t="s">
        <v>371</v>
      </c>
      <c r="B33" s="134"/>
      <c r="C33" s="134"/>
      <c r="D33" s="135" t="s">
        <v>351</v>
      </c>
      <c r="E33" s="136"/>
      <c r="F33" s="137"/>
      <c r="G33" s="138"/>
      <c r="H33" s="139"/>
      <c r="I33" s="140">
        <f>I34</f>
        <v>1004.85</v>
      </c>
    </row>
    <row r="34" spans="1:9" ht="31.5" x14ac:dyDescent="0.25">
      <c r="A34" s="19" t="s">
        <v>372</v>
      </c>
      <c r="B34" s="5" t="s">
        <v>0</v>
      </c>
      <c r="C34" s="5">
        <v>102217</v>
      </c>
      <c r="D34" s="20" t="s">
        <v>690</v>
      </c>
      <c r="E34" s="5" t="s">
        <v>16</v>
      </c>
      <c r="F34" s="8">
        <f>'MEMÓRIA CÁLCULO CONVÊNIO'!D27</f>
        <v>38.28</v>
      </c>
      <c r="G34" s="10">
        <v>21.25</v>
      </c>
      <c r="H34" s="6">
        <f>ROUND(G34*(1+$B$7),2)</f>
        <v>26.25</v>
      </c>
      <c r="I34" s="71">
        <f>ROUND(H34*F34,2)</f>
        <v>1004.85</v>
      </c>
    </row>
    <row r="35" spans="1:9" ht="15.75" x14ac:dyDescent="0.25">
      <c r="A35" s="133" t="s">
        <v>373</v>
      </c>
      <c r="B35" s="134"/>
      <c r="C35" s="134"/>
      <c r="D35" s="135" t="s">
        <v>47</v>
      </c>
      <c r="E35" s="136"/>
      <c r="F35" s="137"/>
      <c r="G35" s="138"/>
      <c r="H35" s="139"/>
      <c r="I35" s="140">
        <f>I36</f>
        <v>141.75</v>
      </c>
    </row>
    <row r="36" spans="1:9" ht="31.5" x14ac:dyDescent="0.25">
      <c r="A36" s="19" t="s">
        <v>194</v>
      </c>
      <c r="B36" s="5" t="s">
        <v>0</v>
      </c>
      <c r="C36" s="5">
        <v>102217</v>
      </c>
      <c r="D36" s="20" t="s">
        <v>690</v>
      </c>
      <c r="E36" s="5" t="s">
        <v>16</v>
      </c>
      <c r="F36" s="8">
        <f>'MEMÓRIA CÁLCULO CONVÊNIO'!D29</f>
        <v>5.3999999999999995</v>
      </c>
      <c r="G36" s="10">
        <v>21.25</v>
      </c>
      <c r="H36" s="6">
        <f>ROUND(G36*(1+$B$7),2)</f>
        <v>26.25</v>
      </c>
      <c r="I36" s="71">
        <f>ROUND(H36*F36,2)</f>
        <v>141.75</v>
      </c>
    </row>
    <row r="37" spans="1:9" ht="33" customHeight="1" x14ac:dyDescent="0.25">
      <c r="A37" s="18" t="s">
        <v>374</v>
      </c>
      <c r="B37" s="40"/>
      <c r="C37" s="40"/>
      <c r="D37" s="41" t="s">
        <v>30</v>
      </c>
      <c r="E37" s="36"/>
      <c r="F37" s="42"/>
      <c r="G37" s="43"/>
      <c r="H37" s="39"/>
      <c r="I37" s="44">
        <f>I38+I41</f>
        <v>17373.560000000001</v>
      </c>
    </row>
    <row r="38" spans="1:9" ht="15.75" x14ac:dyDescent="0.25">
      <c r="A38" s="141" t="s">
        <v>375</v>
      </c>
      <c r="B38" s="134"/>
      <c r="C38" s="134"/>
      <c r="D38" s="135" t="s">
        <v>59</v>
      </c>
      <c r="E38" s="136"/>
      <c r="F38" s="137"/>
      <c r="G38" s="138"/>
      <c r="H38" s="139"/>
      <c r="I38" s="140">
        <f>SUM(I39:I40)</f>
        <v>2171.02</v>
      </c>
    </row>
    <row r="39" spans="1:9" ht="43.5" customHeight="1" x14ac:dyDescent="0.25">
      <c r="A39" s="19" t="s">
        <v>376</v>
      </c>
      <c r="B39" s="79" t="s">
        <v>0</v>
      </c>
      <c r="C39" s="79">
        <v>97631</v>
      </c>
      <c r="D39" s="80" t="s">
        <v>60</v>
      </c>
      <c r="E39" s="79" t="s">
        <v>16</v>
      </c>
      <c r="F39" s="81">
        <f>'MEMÓRIA CÁLCULO CONVÊNIO'!D32</f>
        <v>110.21000000000001</v>
      </c>
      <c r="G39" s="10">
        <v>15.44</v>
      </c>
      <c r="H39" s="6">
        <f t="shared" ref="H39:H40" si="6">ROUND(G39*(1+$B$7),2)</f>
        <v>19.07</v>
      </c>
      <c r="I39" s="71">
        <f t="shared" ref="I39:I40" si="7">ROUND(H39*F39,2)</f>
        <v>2101.6999999999998</v>
      </c>
    </row>
    <row r="40" spans="1:9" ht="63" x14ac:dyDescent="0.25">
      <c r="A40" s="19" t="s">
        <v>377</v>
      </c>
      <c r="B40" s="79" t="s">
        <v>0</v>
      </c>
      <c r="C40" s="79">
        <v>100981</v>
      </c>
      <c r="D40" s="80" t="s">
        <v>249</v>
      </c>
      <c r="E40" s="79" t="s">
        <v>15</v>
      </c>
      <c r="F40" s="81">
        <f>'MEMÓRIA CÁLCULO CONVÊNIO'!D33</f>
        <v>5.5105000000000004</v>
      </c>
      <c r="G40" s="10">
        <v>10.18</v>
      </c>
      <c r="H40" s="6">
        <f t="shared" si="6"/>
        <v>12.58</v>
      </c>
      <c r="I40" s="71">
        <f t="shared" si="7"/>
        <v>69.319999999999993</v>
      </c>
    </row>
    <row r="41" spans="1:9" ht="15.75" x14ac:dyDescent="0.25">
      <c r="A41" s="133" t="s">
        <v>378</v>
      </c>
      <c r="B41" s="134"/>
      <c r="C41" s="134"/>
      <c r="D41" s="135" t="s">
        <v>64</v>
      </c>
      <c r="E41" s="136"/>
      <c r="F41" s="137"/>
      <c r="G41" s="138"/>
      <c r="H41" s="139"/>
      <c r="I41" s="140">
        <f>SUM(I42:I44)</f>
        <v>15202.54</v>
      </c>
    </row>
    <row r="42" spans="1:9" ht="31.5" customHeight="1" x14ac:dyDescent="0.25">
      <c r="A42" s="19" t="s">
        <v>379</v>
      </c>
      <c r="B42" s="79" t="s">
        <v>0</v>
      </c>
      <c r="C42" s="79">
        <v>98555</v>
      </c>
      <c r="D42" s="80" t="s">
        <v>61</v>
      </c>
      <c r="E42" s="79" t="s">
        <v>16</v>
      </c>
      <c r="F42" s="81">
        <f>'MEMÓRIA CÁLCULO CONVÊNIO'!D35</f>
        <v>140.53</v>
      </c>
      <c r="G42" s="10">
        <v>35.770000000000003</v>
      </c>
      <c r="H42" s="6">
        <f t="shared" ref="H42:H44" si="8">ROUND(G42*(1+$B$7),2)</f>
        <v>44.19</v>
      </c>
      <c r="I42" s="71">
        <f t="shared" ref="I42:I44" si="9">ROUND(H42*F42,2)</f>
        <v>6210.02</v>
      </c>
    </row>
    <row r="43" spans="1:9" ht="73.5" customHeight="1" x14ac:dyDescent="0.25">
      <c r="A43" s="19" t="s">
        <v>380</v>
      </c>
      <c r="B43" s="79" t="s">
        <v>0</v>
      </c>
      <c r="C43" s="79">
        <v>87893</v>
      </c>
      <c r="D43" s="80" t="s">
        <v>62</v>
      </c>
      <c r="E43" s="79" t="s">
        <v>16</v>
      </c>
      <c r="F43" s="81">
        <f>'MEMÓRIA CÁLCULO CONVÊNIO'!D36</f>
        <v>140.53</v>
      </c>
      <c r="G43" s="10">
        <v>8.5500000000000007</v>
      </c>
      <c r="H43" s="6">
        <f t="shared" si="8"/>
        <v>10.56</v>
      </c>
      <c r="I43" s="71">
        <f t="shared" si="9"/>
        <v>1484</v>
      </c>
    </row>
    <row r="44" spans="1:9" ht="71.25" customHeight="1" x14ac:dyDescent="0.25">
      <c r="A44" s="19" t="s">
        <v>381</v>
      </c>
      <c r="B44" s="79" t="s">
        <v>0</v>
      </c>
      <c r="C44" s="79">
        <v>87792</v>
      </c>
      <c r="D44" s="80" t="s">
        <v>63</v>
      </c>
      <c r="E44" s="79" t="s">
        <v>16</v>
      </c>
      <c r="F44" s="81">
        <f>'MEMÓRIA CÁLCULO CONVÊNIO'!D37</f>
        <v>140.53</v>
      </c>
      <c r="G44" s="10">
        <v>43.25</v>
      </c>
      <c r="H44" s="6">
        <f t="shared" si="8"/>
        <v>53.43</v>
      </c>
      <c r="I44" s="71">
        <f t="shared" si="9"/>
        <v>7508.52</v>
      </c>
    </row>
    <row r="45" spans="1:9" ht="30.75" customHeight="1" x14ac:dyDescent="0.25">
      <c r="A45" s="35" t="s">
        <v>382</v>
      </c>
      <c r="B45" s="40"/>
      <c r="C45" s="40"/>
      <c r="D45" s="41" t="s">
        <v>48</v>
      </c>
      <c r="E45" s="36"/>
      <c r="F45" s="42"/>
      <c r="G45" s="43"/>
      <c r="H45" s="39"/>
      <c r="I45" s="44">
        <f>I46+I53+I57+I60</f>
        <v>82787.75</v>
      </c>
    </row>
    <row r="46" spans="1:9" ht="18.75" customHeight="1" x14ac:dyDescent="0.25">
      <c r="A46" s="133" t="s">
        <v>383</v>
      </c>
      <c r="B46" s="134"/>
      <c r="C46" s="134"/>
      <c r="D46" s="135" t="s">
        <v>59</v>
      </c>
      <c r="E46" s="136"/>
      <c r="F46" s="137"/>
      <c r="G46" s="138"/>
      <c r="H46" s="139"/>
      <c r="I46" s="140">
        <f>SUM(I47:I52)</f>
        <v>3717.5</v>
      </c>
    </row>
    <row r="47" spans="1:9" ht="40.5" customHeight="1" x14ac:dyDescent="0.25">
      <c r="A47" s="19" t="s">
        <v>384</v>
      </c>
      <c r="B47" s="5" t="s">
        <v>0</v>
      </c>
      <c r="C47" s="5">
        <v>97637</v>
      </c>
      <c r="D47" s="20" t="s">
        <v>49</v>
      </c>
      <c r="E47" s="5" t="s">
        <v>16</v>
      </c>
      <c r="F47" s="8">
        <f>'MEMÓRIA CÁLCULO CONVÊNIO'!D40</f>
        <v>226.51</v>
      </c>
      <c r="G47" s="10">
        <v>3.81</v>
      </c>
      <c r="H47" s="6">
        <f t="shared" ref="H47:H52" si="10">ROUND(G47*(1+$B$7),2)</f>
        <v>4.71</v>
      </c>
      <c r="I47" s="71">
        <f t="shared" ref="I47:I51" si="11">ROUND(H47*F47,2)</f>
        <v>1066.8599999999999</v>
      </c>
    </row>
    <row r="48" spans="1:9" ht="37.5" customHeight="1" x14ac:dyDescent="0.25">
      <c r="A48" s="19" t="s">
        <v>385</v>
      </c>
      <c r="B48" s="5" t="s">
        <v>0</v>
      </c>
      <c r="C48" s="5">
        <v>97622</v>
      </c>
      <c r="D48" s="20" t="s">
        <v>44</v>
      </c>
      <c r="E48" s="5" t="s">
        <v>15</v>
      </c>
      <c r="F48" s="8">
        <f>'MEMÓRIA CÁLCULO CONVÊNIO'!D41</f>
        <v>5.2035</v>
      </c>
      <c r="G48" s="10">
        <v>77.42</v>
      </c>
      <c r="H48" s="6">
        <f t="shared" si="10"/>
        <v>95.64</v>
      </c>
      <c r="I48" s="71">
        <f>ROUND(H48*F48,2)-0.33</f>
        <v>497.33000000000004</v>
      </c>
    </row>
    <row r="49" spans="1:9" ht="54.75" customHeight="1" x14ac:dyDescent="0.25">
      <c r="A49" s="19" t="s">
        <v>386</v>
      </c>
      <c r="B49" s="5" t="s">
        <v>0</v>
      </c>
      <c r="C49" s="5">
        <v>104790</v>
      </c>
      <c r="D49" s="20" t="s">
        <v>549</v>
      </c>
      <c r="E49" s="5" t="s">
        <v>15</v>
      </c>
      <c r="F49" s="8">
        <f>'MEMÓRIA CÁLCULO CONVÊNIO'!D42</f>
        <v>3.4515000000000002</v>
      </c>
      <c r="G49" s="10">
        <v>124.32</v>
      </c>
      <c r="H49" s="6">
        <f t="shared" si="10"/>
        <v>153.58000000000001</v>
      </c>
      <c r="I49" s="71">
        <f>ROUND(H49*F49,2)-0.23</f>
        <v>529.85</v>
      </c>
    </row>
    <row r="50" spans="1:9" ht="84.75" customHeight="1" x14ac:dyDescent="0.25">
      <c r="A50" s="19" t="s">
        <v>387</v>
      </c>
      <c r="B50" s="79" t="s">
        <v>0</v>
      </c>
      <c r="C50" s="5">
        <v>104801</v>
      </c>
      <c r="D50" s="116" t="s">
        <v>225</v>
      </c>
      <c r="E50" s="5" t="s">
        <v>16</v>
      </c>
      <c r="F50" s="77">
        <f>'MEMÓRIA CÁLCULO CONVÊNIO'!D43</f>
        <v>43.736000000000004</v>
      </c>
      <c r="G50" s="78">
        <v>18.78</v>
      </c>
      <c r="H50" s="6">
        <f t="shared" si="10"/>
        <v>23.2</v>
      </c>
      <c r="I50" s="71">
        <f>ROUND(H50*F50,2)+0.09</f>
        <v>1014.77</v>
      </c>
    </row>
    <row r="51" spans="1:9" ht="60" customHeight="1" x14ac:dyDescent="0.25">
      <c r="A51" s="19" t="s">
        <v>548</v>
      </c>
      <c r="B51" s="79" t="s">
        <v>0</v>
      </c>
      <c r="C51" s="5">
        <v>97640</v>
      </c>
      <c r="D51" s="116" t="s">
        <v>561</v>
      </c>
      <c r="E51" s="5" t="s">
        <v>16</v>
      </c>
      <c r="F51" s="77">
        <f>'MEMÓRIA CÁLCULO CONVÊNIO'!D44</f>
        <v>100.15</v>
      </c>
      <c r="G51" s="78">
        <v>2.58</v>
      </c>
      <c r="H51" s="6">
        <f t="shared" si="10"/>
        <v>3.19</v>
      </c>
      <c r="I51" s="71">
        <f t="shared" si="11"/>
        <v>319.48</v>
      </c>
    </row>
    <row r="52" spans="1:9" ht="66.75" customHeight="1" x14ac:dyDescent="0.25">
      <c r="A52" s="19" t="s">
        <v>562</v>
      </c>
      <c r="B52" s="79" t="s">
        <v>0</v>
      </c>
      <c r="C52" s="79">
        <v>100981</v>
      </c>
      <c r="D52" s="80" t="s">
        <v>249</v>
      </c>
      <c r="E52" s="79" t="s">
        <v>15</v>
      </c>
      <c r="F52" s="81">
        <f>'MEMÓRIA CÁLCULO CONVÊNIO'!D45</f>
        <v>22.984999999999999</v>
      </c>
      <c r="G52" s="10">
        <v>10.18</v>
      </c>
      <c r="H52" s="6">
        <f t="shared" si="10"/>
        <v>12.58</v>
      </c>
      <c r="I52" s="71">
        <f>ROUND(H52*F52,2)+0.06</f>
        <v>289.20999999999998</v>
      </c>
    </row>
    <row r="53" spans="1:9" ht="21.75" customHeight="1" x14ac:dyDescent="0.25">
      <c r="A53" s="133" t="s">
        <v>388</v>
      </c>
      <c r="B53" s="134"/>
      <c r="C53" s="134"/>
      <c r="D53" s="135" t="s">
        <v>355</v>
      </c>
      <c r="E53" s="136"/>
      <c r="F53" s="137"/>
      <c r="G53" s="138"/>
      <c r="H53" s="139"/>
      <c r="I53" s="140">
        <f>SUM(I54:I56)</f>
        <v>16378.409999999998</v>
      </c>
    </row>
    <row r="54" spans="1:9" ht="29.25" customHeight="1" x14ac:dyDescent="0.25">
      <c r="A54" s="19" t="s">
        <v>389</v>
      </c>
      <c r="B54" s="5" t="s">
        <v>14</v>
      </c>
      <c r="C54" s="5" t="s">
        <v>53</v>
      </c>
      <c r="D54" s="20" t="s">
        <v>50</v>
      </c>
      <c r="E54" s="5" t="s">
        <v>16</v>
      </c>
      <c r="F54" s="8">
        <f>'MEMÓRIA CÁLCULO CONVÊNIO'!D47</f>
        <v>11.75</v>
      </c>
      <c r="G54" s="10">
        <v>238.05</v>
      </c>
      <c r="H54" s="6">
        <f t="shared" ref="H54:H56" si="12">ROUND(G54*(1+$B$7),2)</f>
        <v>294.08999999999997</v>
      </c>
      <c r="I54" s="71">
        <f t="shared" ref="I54:I55" si="13">ROUND(H54*F54,2)</f>
        <v>3455.56</v>
      </c>
    </row>
    <row r="55" spans="1:9" ht="69" customHeight="1" x14ac:dyDescent="0.25">
      <c r="A55" s="19" t="s">
        <v>390</v>
      </c>
      <c r="B55" s="5" t="s">
        <v>0</v>
      </c>
      <c r="C55" s="5">
        <v>96359</v>
      </c>
      <c r="D55" s="20" t="s">
        <v>353</v>
      </c>
      <c r="E55" s="5" t="s">
        <v>16</v>
      </c>
      <c r="F55" s="8">
        <f>'MEMÓRIA CÁLCULO CONVÊNIO'!D48</f>
        <v>78.009999999999991</v>
      </c>
      <c r="G55" s="10">
        <v>101.64</v>
      </c>
      <c r="H55" s="6">
        <f t="shared" si="12"/>
        <v>125.57</v>
      </c>
      <c r="I55" s="71">
        <f t="shared" si="13"/>
        <v>9795.7199999999993</v>
      </c>
    </row>
    <row r="56" spans="1:9" ht="69" customHeight="1" x14ac:dyDescent="0.25">
      <c r="A56" s="19" t="s">
        <v>391</v>
      </c>
      <c r="B56" s="79" t="s">
        <v>0</v>
      </c>
      <c r="C56" s="5">
        <v>103361</v>
      </c>
      <c r="D56" s="20" t="s">
        <v>226</v>
      </c>
      <c r="E56" s="5" t="s">
        <v>16</v>
      </c>
      <c r="F56" s="77">
        <f>'MEMÓRIA CÁLCULO CONVÊNIO'!D49</f>
        <v>27.736000000000004</v>
      </c>
      <c r="G56" s="78">
        <v>91.25</v>
      </c>
      <c r="H56" s="6">
        <f t="shared" si="12"/>
        <v>112.73</v>
      </c>
      <c r="I56" s="71">
        <f>ROUND(H56*F56,2)+0.45</f>
        <v>3127.1299999999997</v>
      </c>
    </row>
    <row r="57" spans="1:9" ht="22.5" customHeight="1" x14ac:dyDescent="0.25">
      <c r="A57" s="133" t="s">
        <v>392</v>
      </c>
      <c r="B57" s="134"/>
      <c r="C57" s="134"/>
      <c r="D57" s="135" t="s">
        <v>356</v>
      </c>
      <c r="E57" s="136"/>
      <c r="F57" s="137"/>
      <c r="G57" s="138"/>
      <c r="H57" s="139"/>
      <c r="I57" s="140">
        <f>SUM(I58:I59)</f>
        <v>3549.5199999999995</v>
      </c>
    </row>
    <row r="58" spans="1:9" ht="67.5" customHeight="1" x14ac:dyDescent="0.25">
      <c r="A58" s="19" t="s">
        <v>393</v>
      </c>
      <c r="B58" s="79" t="s">
        <v>0</v>
      </c>
      <c r="C58" s="79">
        <v>87893</v>
      </c>
      <c r="D58" s="80" t="s">
        <v>62</v>
      </c>
      <c r="E58" s="79" t="s">
        <v>16</v>
      </c>
      <c r="F58" s="81">
        <f>'MEMÓRIA CÁLCULO CONVÊNIO'!D51</f>
        <v>55.472000000000008</v>
      </c>
      <c r="G58" s="10">
        <v>8.5500000000000007</v>
      </c>
      <c r="H58" s="6">
        <f t="shared" ref="H58:H59" si="14">ROUND(G58*(1+$B$7),2)</f>
        <v>10.56</v>
      </c>
      <c r="I58" s="71">
        <f>ROUND(H58*F58,2)-0.02</f>
        <v>585.76</v>
      </c>
    </row>
    <row r="59" spans="1:9" ht="63.75" customHeight="1" x14ac:dyDescent="0.25">
      <c r="A59" s="19" t="s">
        <v>394</v>
      </c>
      <c r="B59" s="79" t="s">
        <v>0</v>
      </c>
      <c r="C59" s="79">
        <v>87792</v>
      </c>
      <c r="D59" s="80" t="s">
        <v>63</v>
      </c>
      <c r="E59" s="79" t="s">
        <v>16</v>
      </c>
      <c r="F59" s="81">
        <f>'MEMÓRIA CÁLCULO CONVÊNIO'!D52</f>
        <v>55.472000000000008</v>
      </c>
      <c r="G59" s="10">
        <v>43.25</v>
      </c>
      <c r="H59" s="6">
        <f t="shared" si="14"/>
        <v>53.43</v>
      </c>
      <c r="I59" s="71">
        <f>ROUND(H59*F59,2)-0.11</f>
        <v>2963.7599999999998</v>
      </c>
    </row>
    <row r="60" spans="1:9" ht="23.25" customHeight="1" x14ac:dyDescent="0.25">
      <c r="A60" s="133" t="s">
        <v>395</v>
      </c>
      <c r="B60" s="134"/>
      <c r="C60" s="134"/>
      <c r="D60" s="135" t="s">
        <v>117</v>
      </c>
      <c r="E60" s="136"/>
      <c r="F60" s="137"/>
      <c r="G60" s="138"/>
      <c r="H60" s="139"/>
      <c r="I60" s="140">
        <f>SUM(I61:I65)</f>
        <v>59142.320000000007</v>
      </c>
    </row>
    <row r="61" spans="1:9" ht="23.25" customHeight="1" x14ac:dyDescent="0.25">
      <c r="A61" s="19" t="s">
        <v>396</v>
      </c>
      <c r="B61" s="5" t="s">
        <v>14</v>
      </c>
      <c r="C61" s="5" t="s">
        <v>427</v>
      </c>
      <c r="D61" s="20" t="s">
        <v>426</v>
      </c>
      <c r="E61" s="5" t="s">
        <v>16</v>
      </c>
      <c r="F61" s="77">
        <f>'MEMÓRIA CÁLCULO CONVÊNIO'!D54</f>
        <v>28.5</v>
      </c>
      <c r="G61" s="78">
        <v>839.4</v>
      </c>
      <c r="H61" s="6">
        <f t="shared" ref="H61:H65" si="15">ROUND(G61*(1+$B$7),2)</f>
        <v>1036.99</v>
      </c>
      <c r="I61" s="71">
        <f t="shared" ref="I61:I65" si="16">ROUND(H61*F61,2)</f>
        <v>29554.22</v>
      </c>
    </row>
    <row r="62" spans="1:9" ht="23.25" customHeight="1" x14ac:dyDescent="0.25">
      <c r="A62" s="19" t="s">
        <v>397</v>
      </c>
      <c r="B62" s="5" t="s">
        <v>14</v>
      </c>
      <c r="C62" s="5" t="s">
        <v>430</v>
      </c>
      <c r="D62" s="20" t="s">
        <v>429</v>
      </c>
      <c r="E62" s="5" t="s">
        <v>16</v>
      </c>
      <c r="F62" s="77">
        <f>'MEMÓRIA CÁLCULO CONVÊNIO'!D55</f>
        <v>6.3000000000000007</v>
      </c>
      <c r="G62" s="78">
        <v>1152.98</v>
      </c>
      <c r="H62" s="6">
        <f t="shared" si="15"/>
        <v>1424.39</v>
      </c>
      <c r="I62" s="71">
        <f t="shared" si="16"/>
        <v>8973.66</v>
      </c>
    </row>
    <row r="63" spans="1:9" ht="40.5" customHeight="1" x14ac:dyDescent="0.25">
      <c r="A63" s="19" t="s">
        <v>431</v>
      </c>
      <c r="B63" s="5" t="s">
        <v>0</v>
      </c>
      <c r="C63" s="5">
        <v>102179</v>
      </c>
      <c r="D63" s="20" t="s">
        <v>428</v>
      </c>
      <c r="E63" s="5" t="s">
        <v>16</v>
      </c>
      <c r="F63" s="77">
        <f>'MEMÓRIA CÁLCULO CONVÊNIO'!D56</f>
        <v>34.799999999999997</v>
      </c>
      <c r="G63" s="78">
        <v>434.65</v>
      </c>
      <c r="H63" s="6">
        <f t="shared" si="15"/>
        <v>536.97</v>
      </c>
      <c r="I63" s="71">
        <f t="shared" si="16"/>
        <v>18686.560000000001</v>
      </c>
    </row>
    <row r="64" spans="1:9" ht="84" customHeight="1" x14ac:dyDescent="0.25">
      <c r="A64" s="19" t="s">
        <v>555</v>
      </c>
      <c r="B64" s="5" t="s">
        <v>0</v>
      </c>
      <c r="C64" s="5">
        <v>90850</v>
      </c>
      <c r="D64" s="20" t="s">
        <v>556</v>
      </c>
      <c r="E64" s="5" t="s">
        <v>16</v>
      </c>
      <c r="F64" s="77">
        <f>'MEMÓRIA CÁLCULO CONVÊNIO'!D57</f>
        <v>1</v>
      </c>
      <c r="G64" s="78">
        <v>1199.1600000000001</v>
      </c>
      <c r="H64" s="6">
        <f t="shared" si="15"/>
        <v>1481.44</v>
      </c>
      <c r="I64" s="71">
        <f t="shared" si="16"/>
        <v>1481.44</v>
      </c>
    </row>
    <row r="65" spans="1:9" ht="48" customHeight="1" x14ac:dyDescent="0.25">
      <c r="A65" s="19" t="s">
        <v>557</v>
      </c>
      <c r="B65" s="5" t="s">
        <v>0</v>
      </c>
      <c r="C65" s="5">
        <v>91306</v>
      </c>
      <c r="D65" s="20" t="s">
        <v>558</v>
      </c>
      <c r="E65" s="5" t="s">
        <v>16</v>
      </c>
      <c r="F65" s="77">
        <f>'MEMÓRIA CÁLCULO CONVÊNIO'!D58</f>
        <v>2</v>
      </c>
      <c r="G65" s="78">
        <v>180.69</v>
      </c>
      <c r="H65" s="6">
        <f t="shared" si="15"/>
        <v>223.22</v>
      </c>
      <c r="I65" s="71">
        <f t="shared" si="16"/>
        <v>446.44</v>
      </c>
    </row>
    <row r="66" spans="1:9" ht="33" customHeight="1" x14ac:dyDescent="0.25">
      <c r="A66" s="35" t="s">
        <v>406</v>
      </c>
      <c r="B66" s="40"/>
      <c r="C66" s="40"/>
      <c r="D66" s="41" t="s">
        <v>35</v>
      </c>
      <c r="E66" s="36"/>
      <c r="F66" s="42"/>
      <c r="G66" s="43"/>
      <c r="H66" s="39"/>
      <c r="I66" s="44">
        <f>I67+I76+I72+I79</f>
        <v>65870.05</v>
      </c>
    </row>
    <row r="67" spans="1:9" ht="18.75" customHeight="1" x14ac:dyDescent="0.25">
      <c r="A67" s="133" t="s">
        <v>407</v>
      </c>
      <c r="B67" s="134"/>
      <c r="C67" s="134"/>
      <c r="D67" s="135" t="s">
        <v>55</v>
      </c>
      <c r="E67" s="136"/>
      <c r="F67" s="137"/>
      <c r="G67" s="138"/>
      <c r="H67" s="139"/>
      <c r="I67" s="140">
        <f>SUM(I68:I71)</f>
        <v>53691.83</v>
      </c>
    </row>
    <row r="68" spans="1:9" ht="86.25" customHeight="1" x14ac:dyDescent="0.25">
      <c r="A68" s="19" t="s">
        <v>408</v>
      </c>
      <c r="B68" s="5" t="s">
        <v>0</v>
      </c>
      <c r="C68" s="5">
        <v>102362</v>
      </c>
      <c r="D68" s="20" t="s">
        <v>38</v>
      </c>
      <c r="E68" s="5" t="s">
        <v>16</v>
      </c>
      <c r="F68" s="8">
        <f>'MEMÓRIA CÁLCULO CONVÊNIO'!D61</f>
        <v>102.16</v>
      </c>
      <c r="G68" s="10">
        <v>178.23</v>
      </c>
      <c r="H68" s="6">
        <f t="shared" ref="H68:H71" si="17">ROUND(G68*(1+$B$7),2)</f>
        <v>220.19</v>
      </c>
      <c r="I68" s="71">
        <f t="shared" ref="I68:I71" si="18">ROUND(H68*F68,2)</f>
        <v>22494.61</v>
      </c>
    </row>
    <row r="69" spans="1:9" ht="72" customHeight="1" x14ac:dyDescent="0.25">
      <c r="A69" s="19" t="s">
        <v>409</v>
      </c>
      <c r="B69" s="5" t="s">
        <v>0</v>
      </c>
      <c r="C69" s="5">
        <v>104802</v>
      </c>
      <c r="D69" s="20" t="s">
        <v>250</v>
      </c>
      <c r="E69" s="5" t="s">
        <v>16</v>
      </c>
      <c r="F69" s="8">
        <f>'MEMÓRIA CÁLCULO CONVÊNIO'!D62</f>
        <v>335.88</v>
      </c>
      <c r="G69" s="10">
        <v>12.5</v>
      </c>
      <c r="H69" s="6">
        <f t="shared" si="17"/>
        <v>15.44</v>
      </c>
      <c r="I69" s="71">
        <f t="shared" si="18"/>
        <v>5185.99</v>
      </c>
    </row>
    <row r="70" spans="1:9" ht="26.25" customHeight="1" x14ac:dyDescent="0.25">
      <c r="A70" s="19" t="s">
        <v>410</v>
      </c>
      <c r="B70" s="5" t="s">
        <v>14</v>
      </c>
      <c r="C70" s="5" t="s">
        <v>51</v>
      </c>
      <c r="D70" s="20" t="s">
        <v>39</v>
      </c>
      <c r="E70" s="5" t="s">
        <v>16</v>
      </c>
      <c r="F70" s="8">
        <f>'MEMÓRIA CÁLCULO CONVÊNIO'!D63</f>
        <v>335.88</v>
      </c>
      <c r="G70" s="10">
        <v>50.43</v>
      </c>
      <c r="H70" s="6">
        <f t="shared" si="17"/>
        <v>62.3</v>
      </c>
      <c r="I70" s="71">
        <f t="shared" si="18"/>
        <v>20925.32</v>
      </c>
    </row>
    <row r="71" spans="1:9" ht="39" customHeight="1" x14ac:dyDescent="0.25">
      <c r="A71" s="19" t="s">
        <v>411</v>
      </c>
      <c r="B71" s="5" t="s">
        <v>14</v>
      </c>
      <c r="C71" s="5" t="s">
        <v>52</v>
      </c>
      <c r="D71" s="20" t="s">
        <v>40</v>
      </c>
      <c r="E71" s="5" t="s">
        <v>16</v>
      </c>
      <c r="F71" s="8">
        <f>'MEMÓRIA CÁLCULO CONVÊNIO'!D64</f>
        <v>3.9600000000000004</v>
      </c>
      <c r="G71" s="10">
        <v>1039.5999999999999</v>
      </c>
      <c r="H71" s="6">
        <f t="shared" si="17"/>
        <v>1284.32</v>
      </c>
      <c r="I71" s="71">
        <f t="shared" si="18"/>
        <v>5085.91</v>
      </c>
    </row>
    <row r="72" spans="1:9" ht="24.75" customHeight="1" x14ac:dyDescent="0.25">
      <c r="A72" s="133" t="s">
        <v>412</v>
      </c>
      <c r="B72" s="134"/>
      <c r="C72" s="134"/>
      <c r="D72" s="135" t="s">
        <v>120</v>
      </c>
      <c r="E72" s="136"/>
      <c r="F72" s="137"/>
      <c r="G72" s="138"/>
      <c r="H72" s="139"/>
      <c r="I72" s="140">
        <f>SUM(I73:I75)</f>
        <v>1709.75</v>
      </c>
    </row>
    <row r="73" spans="1:9" ht="39" customHeight="1" x14ac:dyDescent="0.25">
      <c r="A73" s="19" t="s">
        <v>413</v>
      </c>
      <c r="B73" s="5" t="s">
        <v>0</v>
      </c>
      <c r="C73" s="5">
        <v>104789</v>
      </c>
      <c r="D73" s="20" t="s">
        <v>121</v>
      </c>
      <c r="E73" s="5" t="s">
        <v>15</v>
      </c>
      <c r="F73" s="8">
        <f>'MEMÓRIA CÁLCULO CONVÊNIO'!D66</f>
        <v>0.88549999999999995</v>
      </c>
      <c r="G73" s="10">
        <v>272.48</v>
      </c>
      <c r="H73" s="6">
        <f t="shared" ref="H73:H75" si="19">ROUND(G73*(1+$B$7),2)</f>
        <v>336.62</v>
      </c>
      <c r="I73" s="71">
        <f>ROUND(H73*F73,2)+1.51</f>
        <v>299.58999999999997</v>
      </c>
    </row>
    <row r="74" spans="1:9" ht="69" customHeight="1" x14ac:dyDescent="0.25">
      <c r="A74" s="19" t="s">
        <v>414</v>
      </c>
      <c r="B74" s="79" t="s">
        <v>0</v>
      </c>
      <c r="C74" s="79">
        <v>100981</v>
      </c>
      <c r="D74" s="80" t="s">
        <v>249</v>
      </c>
      <c r="E74" s="79" t="s">
        <v>15</v>
      </c>
      <c r="F74" s="8">
        <f>'MEMÓRIA CÁLCULO CONVÊNIO'!D67</f>
        <v>0.88549999999999995</v>
      </c>
      <c r="G74" s="10">
        <v>10.18</v>
      </c>
      <c r="H74" s="6">
        <f t="shared" si="19"/>
        <v>12.58</v>
      </c>
      <c r="I74" s="71">
        <f>ROUND(H74*F74,2)+0.06</f>
        <v>11.200000000000001</v>
      </c>
    </row>
    <row r="75" spans="1:9" ht="57" customHeight="1" x14ac:dyDescent="0.25">
      <c r="A75" s="19" t="s">
        <v>415</v>
      </c>
      <c r="B75" s="5" t="s">
        <v>0</v>
      </c>
      <c r="C75" s="5">
        <v>94994</v>
      </c>
      <c r="D75" s="20" t="s">
        <v>41</v>
      </c>
      <c r="E75" s="5" t="s">
        <v>16</v>
      </c>
      <c r="F75" s="8">
        <f>'MEMÓRIA CÁLCULO CONVÊNIO'!D68</f>
        <v>12.649999999999999</v>
      </c>
      <c r="G75" s="10">
        <v>89.52</v>
      </c>
      <c r="H75" s="6">
        <f t="shared" si="19"/>
        <v>110.59</v>
      </c>
      <c r="I75" s="71">
        <f t="shared" ref="I75" si="20">ROUND(H75*F75,2)</f>
        <v>1398.96</v>
      </c>
    </row>
    <row r="76" spans="1:9" ht="21.75" customHeight="1" x14ac:dyDescent="0.25">
      <c r="A76" s="133" t="s">
        <v>416</v>
      </c>
      <c r="B76" s="134"/>
      <c r="C76" s="134"/>
      <c r="D76" s="135" t="s">
        <v>24</v>
      </c>
      <c r="E76" s="136"/>
      <c r="F76" s="137"/>
      <c r="G76" s="138"/>
      <c r="H76" s="139"/>
      <c r="I76" s="140">
        <f>SUM(I77:I78)</f>
        <v>10225.52</v>
      </c>
    </row>
    <row r="77" spans="1:9" ht="30.75" customHeight="1" x14ac:dyDescent="0.25">
      <c r="A77" s="19" t="s">
        <v>417</v>
      </c>
      <c r="B77" s="5" t="s">
        <v>0</v>
      </c>
      <c r="C77" s="5">
        <v>98397</v>
      </c>
      <c r="D77" s="20" t="s">
        <v>25</v>
      </c>
      <c r="E77" s="5" t="s">
        <v>16</v>
      </c>
      <c r="F77" s="8">
        <f>'MEMÓRIA CÁLCULO CONVÊNIO'!D70</f>
        <v>109.94</v>
      </c>
      <c r="G77" s="10">
        <v>14.58</v>
      </c>
      <c r="H77" s="6">
        <f t="shared" ref="H77:H78" si="21">ROUND(G77*(1+$B$7),2)</f>
        <v>18.010000000000002</v>
      </c>
      <c r="I77" s="71">
        <f t="shared" ref="I77:I78" si="22">ROUND(H77*F77,2)</f>
        <v>1980.02</v>
      </c>
    </row>
    <row r="78" spans="1:9" ht="69" customHeight="1" x14ac:dyDescent="0.25">
      <c r="A78" s="19" t="s">
        <v>418</v>
      </c>
      <c r="B78" s="5" t="s">
        <v>0</v>
      </c>
      <c r="C78" s="5">
        <v>100761</v>
      </c>
      <c r="D78" s="20" t="s">
        <v>37</v>
      </c>
      <c r="E78" s="5" t="s">
        <v>16</v>
      </c>
      <c r="F78" s="8">
        <f>'MEMÓRIA CÁLCULO CONVÊNIO'!D71</f>
        <v>109.94</v>
      </c>
      <c r="G78" s="10">
        <v>60.71</v>
      </c>
      <c r="H78" s="6">
        <f t="shared" si="21"/>
        <v>75</v>
      </c>
      <c r="I78" s="71">
        <f t="shared" si="22"/>
        <v>8245.5</v>
      </c>
    </row>
    <row r="79" spans="1:9" ht="21.75" customHeight="1" x14ac:dyDescent="0.25">
      <c r="A79" s="133" t="s">
        <v>608</v>
      </c>
      <c r="B79" s="134"/>
      <c r="C79" s="134"/>
      <c r="D79" s="135" t="s">
        <v>46</v>
      </c>
      <c r="E79" s="136"/>
      <c r="F79" s="137"/>
      <c r="G79" s="138"/>
      <c r="H79" s="139"/>
      <c r="I79" s="140">
        <f>SUM(I80:I82)</f>
        <v>242.95000000000002</v>
      </c>
    </row>
    <row r="80" spans="1:9" ht="60" customHeight="1" x14ac:dyDescent="0.25">
      <c r="A80" s="19" t="s">
        <v>609</v>
      </c>
      <c r="B80" s="5" t="s">
        <v>0</v>
      </c>
      <c r="C80" s="5">
        <v>101159</v>
      </c>
      <c r="D80" s="20" t="s">
        <v>42</v>
      </c>
      <c r="E80" s="5" t="s">
        <v>16</v>
      </c>
      <c r="F80" s="8">
        <f>'MEMÓRIA CÁLCULO CONVÊNIO'!D73</f>
        <v>1</v>
      </c>
      <c r="G80" s="10">
        <v>148.66</v>
      </c>
      <c r="H80" s="6">
        <f t="shared" ref="H80:H82" si="23">ROUND(G80*(1+$B$7),2)</f>
        <v>183.65</v>
      </c>
      <c r="I80" s="71">
        <f t="shared" ref="I80:I82" si="24">ROUND(H80*F80,2)</f>
        <v>183.65</v>
      </c>
    </row>
    <row r="81" spans="1:9" ht="54" customHeight="1" x14ac:dyDescent="0.25">
      <c r="A81" s="19" t="s">
        <v>610</v>
      </c>
      <c r="B81" s="5" t="s">
        <v>0</v>
      </c>
      <c r="C81" s="5">
        <v>87879</v>
      </c>
      <c r="D81" s="20" t="s">
        <v>28</v>
      </c>
      <c r="E81" s="5" t="s">
        <v>16</v>
      </c>
      <c r="F81" s="8">
        <f>'MEMÓRIA CÁLCULO CONVÊNIO'!D74</f>
        <v>1</v>
      </c>
      <c r="G81" s="10">
        <v>4.75</v>
      </c>
      <c r="H81" s="6">
        <f t="shared" si="23"/>
        <v>5.87</v>
      </c>
      <c r="I81" s="71">
        <f t="shared" si="24"/>
        <v>5.87</v>
      </c>
    </row>
    <row r="82" spans="1:9" ht="72" customHeight="1" x14ac:dyDescent="0.25">
      <c r="A82" s="19" t="s">
        <v>611</v>
      </c>
      <c r="B82" s="79" t="s">
        <v>0</v>
      </c>
      <c r="C82" s="79">
        <v>87792</v>
      </c>
      <c r="D82" s="80" t="s">
        <v>63</v>
      </c>
      <c r="E82" s="79" t="s">
        <v>16</v>
      </c>
      <c r="F82" s="81">
        <f>'MEMÓRIA CÁLCULO CONVÊNIO'!D75</f>
        <v>1</v>
      </c>
      <c r="G82" s="10">
        <v>43.25</v>
      </c>
      <c r="H82" s="6">
        <f t="shared" si="23"/>
        <v>53.43</v>
      </c>
      <c r="I82" s="71">
        <f t="shared" si="24"/>
        <v>53.43</v>
      </c>
    </row>
    <row r="83" spans="1:9" ht="32.25" customHeight="1" x14ac:dyDescent="0.25">
      <c r="A83" s="35" t="s">
        <v>419</v>
      </c>
      <c r="B83" s="40"/>
      <c r="C83" s="40"/>
      <c r="D83" s="41" t="s">
        <v>45</v>
      </c>
      <c r="E83" s="36"/>
      <c r="F83" s="42"/>
      <c r="G83" s="43"/>
      <c r="H83" s="39"/>
      <c r="I83" s="44">
        <f>I84+I88</f>
        <v>20208.29</v>
      </c>
    </row>
    <row r="84" spans="1:9" ht="18.75" customHeight="1" x14ac:dyDescent="0.25">
      <c r="A84" s="133" t="s">
        <v>420</v>
      </c>
      <c r="B84" s="134"/>
      <c r="C84" s="134"/>
      <c r="D84" s="135" t="s">
        <v>56</v>
      </c>
      <c r="E84" s="136"/>
      <c r="F84" s="137"/>
      <c r="G84" s="138"/>
      <c r="H84" s="139"/>
      <c r="I84" s="140">
        <f>SUM(I85:I87)</f>
        <v>14914.57</v>
      </c>
    </row>
    <row r="85" spans="1:9" ht="69" customHeight="1" x14ac:dyDescent="0.25">
      <c r="A85" s="19" t="s">
        <v>421</v>
      </c>
      <c r="B85" s="5" t="s">
        <v>0</v>
      </c>
      <c r="C85" s="5">
        <v>104802</v>
      </c>
      <c r="D85" s="20" t="s">
        <v>250</v>
      </c>
      <c r="E85" s="5" t="s">
        <v>16</v>
      </c>
      <c r="F85" s="8">
        <f>'MEMÓRIA CÁLCULO CONVÊNIO'!D78</f>
        <v>147</v>
      </c>
      <c r="G85" s="10">
        <v>12.5</v>
      </c>
      <c r="H85" s="6">
        <f t="shared" ref="H85:H87" si="25">ROUND(G85*(1+$B$7),2)</f>
        <v>15.44</v>
      </c>
      <c r="I85" s="71">
        <f t="shared" ref="I85:I87" si="26">ROUND(H85*F85,2)</f>
        <v>2269.6799999999998</v>
      </c>
    </row>
    <row r="86" spans="1:9" ht="32.25" customHeight="1" x14ac:dyDescent="0.25">
      <c r="A86" s="19" t="s">
        <v>422</v>
      </c>
      <c r="B86" s="5" t="s">
        <v>14</v>
      </c>
      <c r="C86" s="5" t="s">
        <v>51</v>
      </c>
      <c r="D86" s="20" t="s">
        <v>39</v>
      </c>
      <c r="E86" s="5" t="s">
        <v>16</v>
      </c>
      <c r="F86" s="8">
        <f>'MEMÓRIA CÁLCULO CONVÊNIO'!D79</f>
        <v>147</v>
      </c>
      <c r="G86" s="10">
        <v>50.43</v>
      </c>
      <c r="H86" s="6">
        <f t="shared" si="25"/>
        <v>62.3</v>
      </c>
      <c r="I86" s="71">
        <f t="shared" si="26"/>
        <v>9158.1</v>
      </c>
    </row>
    <row r="87" spans="1:9" ht="32.25" customHeight="1" x14ac:dyDescent="0.25">
      <c r="A87" s="19" t="s">
        <v>605</v>
      </c>
      <c r="B87" s="5" t="s">
        <v>597</v>
      </c>
      <c r="C87" s="5">
        <v>21012</v>
      </c>
      <c r="D87" s="20" t="s">
        <v>606</v>
      </c>
      <c r="E87" s="5" t="s">
        <v>11</v>
      </c>
      <c r="F87" s="8">
        <f>'MEMÓRIA CÁLCULO CONVÊNIO'!D80</f>
        <v>53.900000000000006</v>
      </c>
      <c r="G87" s="10">
        <v>52.36</v>
      </c>
      <c r="H87" s="6">
        <f t="shared" si="25"/>
        <v>64.69</v>
      </c>
      <c r="I87" s="71">
        <f t="shared" si="26"/>
        <v>3486.79</v>
      </c>
    </row>
    <row r="88" spans="1:9" ht="21.75" customHeight="1" x14ac:dyDescent="0.25">
      <c r="A88" s="133" t="s">
        <v>423</v>
      </c>
      <c r="B88" s="134"/>
      <c r="C88" s="134"/>
      <c r="D88" s="135" t="s">
        <v>24</v>
      </c>
      <c r="E88" s="136"/>
      <c r="F88" s="137"/>
      <c r="G88" s="138"/>
      <c r="H88" s="139"/>
      <c r="I88" s="140">
        <f>SUM(I89:I91)</f>
        <v>5293.72</v>
      </c>
    </row>
    <row r="89" spans="1:9" ht="21.75" customHeight="1" x14ac:dyDescent="0.25">
      <c r="A89" s="19" t="s">
        <v>424</v>
      </c>
      <c r="B89" s="5" t="s">
        <v>0</v>
      </c>
      <c r="C89" s="5">
        <v>98397</v>
      </c>
      <c r="D89" s="20" t="s">
        <v>25</v>
      </c>
      <c r="E89" s="5" t="s">
        <v>16</v>
      </c>
      <c r="F89" s="8">
        <f>'MEMÓRIA CÁLCULO CONVÊNIO'!D82</f>
        <v>43.825000000000003</v>
      </c>
      <c r="G89" s="10">
        <v>14.58</v>
      </c>
      <c r="H89" s="6">
        <f t="shared" ref="H89:H91" si="27">ROUND(G89*(1+$B$7),2)</f>
        <v>18.010000000000002</v>
      </c>
      <c r="I89" s="71">
        <f>ROUND(H89*F89,2)+0.09</f>
        <v>789.38</v>
      </c>
    </row>
    <row r="90" spans="1:9" ht="64.5" customHeight="1" x14ac:dyDescent="0.25">
      <c r="A90" s="19" t="s">
        <v>425</v>
      </c>
      <c r="B90" s="5" t="s">
        <v>0</v>
      </c>
      <c r="C90" s="5">
        <v>100761</v>
      </c>
      <c r="D90" s="20" t="s">
        <v>37</v>
      </c>
      <c r="E90" s="5" t="s">
        <v>16</v>
      </c>
      <c r="F90" s="8">
        <f>'MEMÓRIA CÁLCULO CONVÊNIO'!D83</f>
        <v>43.825000000000003</v>
      </c>
      <c r="G90" s="10">
        <v>60.71</v>
      </c>
      <c r="H90" s="6">
        <f t="shared" si="27"/>
        <v>75</v>
      </c>
      <c r="I90" s="71">
        <f>ROUND(H90*F90,2)+0.37</f>
        <v>3287.25</v>
      </c>
    </row>
    <row r="91" spans="1:9" ht="50.25" customHeight="1" x14ac:dyDescent="0.25">
      <c r="A91" s="19" t="s">
        <v>612</v>
      </c>
      <c r="B91" s="5" t="s">
        <v>0</v>
      </c>
      <c r="C91" s="5">
        <v>88489</v>
      </c>
      <c r="D91" s="20" t="s">
        <v>342</v>
      </c>
      <c r="E91" s="5" t="s">
        <v>16</v>
      </c>
      <c r="F91" s="8">
        <f>'MEMÓRIA CÁLCULO CONVÊNIO'!D84</f>
        <v>66.69</v>
      </c>
      <c r="G91" s="10">
        <v>14.77</v>
      </c>
      <c r="H91" s="6">
        <f t="shared" si="27"/>
        <v>18.25</v>
      </c>
      <c r="I91" s="71">
        <f t="shared" ref="I91" si="28">ROUND(H91*F91,2)</f>
        <v>1217.0899999999999</v>
      </c>
    </row>
    <row r="92" spans="1:9" ht="40.5" customHeight="1" thickBot="1" x14ac:dyDescent="0.3">
      <c r="A92" s="21"/>
      <c r="B92" s="22"/>
      <c r="C92" s="22"/>
      <c r="D92" s="22"/>
      <c r="E92" s="11"/>
      <c r="F92" s="11"/>
      <c r="G92" s="263" t="s">
        <v>17</v>
      </c>
      <c r="H92" s="264"/>
      <c r="I92" s="72">
        <f>I83+I66+I45+I37+I13+I11</f>
        <v>269657.02999999997</v>
      </c>
    </row>
    <row r="93" spans="1:9" ht="28.5" customHeight="1" x14ac:dyDescent="0.25">
      <c r="A93" s="259" t="s">
        <v>98</v>
      </c>
      <c r="B93" s="260"/>
      <c r="C93" s="260"/>
      <c r="D93" s="260"/>
      <c r="E93" s="260"/>
      <c r="F93" s="261"/>
      <c r="G93" s="23"/>
      <c r="H93" s="24"/>
      <c r="I93" s="73">
        <f>I94+I138+I154+I161+I182+I214</f>
        <v>542802.32000000007</v>
      </c>
    </row>
    <row r="94" spans="1:9" ht="28.5" customHeight="1" x14ac:dyDescent="0.25">
      <c r="A94" s="14" t="s">
        <v>439</v>
      </c>
      <c r="B94" s="15"/>
      <c r="C94" s="15"/>
      <c r="D94" s="121" t="s">
        <v>442</v>
      </c>
      <c r="E94" s="121"/>
      <c r="F94" s="121"/>
      <c r="G94" s="16"/>
      <c r="H94" s="17"/>
      <c r="I94" s="76">
        <f>I95+I107+I113+I126+I128+I130+I136</f>
        <v>244601.11</v>
      </c>
    </row>
    <row r="95" spans="1:9" ht="18.75" customHeight="1" x14ac:dyDescent="0.25">
      <c r="A95" s="142" t="s">
        <v>440</v>
      </c>
      <c r="B95" s="143"/>
      <c r="C95" s="143"/>
      <c r="D95" s="144" t="s">
        <v>99</v>
      </c>
      <c r="E95" s="145"/>
      <c r="F95" s="145"/>
      <c r="G95" s="146"/>
      <c r="H95" s="147"/>
      <c r="I95" s="148">
        <f>I96+I100+I104</f>
        <v>87256.58</v>
      </c>
    </row>
    <row r="96" spans="1:9" ht="16.5" customHeight="1" x14ac:dyDescent="0.25">
      <c r="A96" s="133" t="s">
        <v>441</v>
      </c>
      <c r="B96" s="134"/>
      <c r="C96" s="134"/>
      <c r="D96" s="135" t="s">
        <v>59</v>
      </c>
      <c r="E96" s="136"/>
      <c r="F96" s="136"/>
      <c r="G96" s="138"/>
      <c r="H96" s="139"/>
      <c r="I96" s="140">
        <f>SUM(I97:I99)</f>
        <v>2565.6200000000003</v>
      </c>
    </row>
    <row r="97" spans="1:9" ht="15.75" x14ac:dyDescent="0.25">
      <c r="A97" s="19" t="s">
        <v>443</v>
      </c>
      <c r="B97" s="5" t="s">
        <v>14</v>
      </c>
      <c r="C97" s="5" t="s">
        <v>101</v>
      </c>
      <c r="D97" s="20" t="s">
        <v>100</v>
      </c>
      <c r="E97" s="5" t="s">
        <v>16</v>
      </c>
      <c r="F97" s="8">
        <f>'MEMÓRIA CÁLCULO CONVÊNIO'!D89</f>
        <v>18</v>
      </c>
      <c r="G97" s="10">
        <v>12.86</v>
      </c>
      <c r="H97" s="6">
        <f t="shared" ref="H97:H99" si="29">ROUND(G97*(1+$B$7),2)</f>
        <v>15.89</v>
      </c>
      <c r="I97" s="71">
        <f t="shared" ref="I97:I99" si="30">ROUND(H97*F97,2)</f>
        <v>286.02</v>
      </c>
    </row>
    <row r="98" spans="1:9" ht="47.25" x14ac:dyDescent="0.25">
      <c r="A98" s="19" t="s">
        <v>444</v>
      </c>
      <c r="B98" s="5" t="s">
        <v>0</v>
      </c>
      <c r="C98" s="5">
        <v>104790</v>
      </c>
      <c r="D98" s="20" t="s">
        <v>105</v>
      </c>
      <c r="E98" s="5" t="s">
        <v>15</v>
      </c>
      <c r="F98" s="8">
        <f>'MEMÓRIA CÁLCULO CONVÊNIO'!D90</f>
        <v>13.651200000000001</v>
      </c>
      <c r="G98" s="10">
        <v>124.32</v>
      </c>
      <c r="H98" s="6">
        <f t="shared" si="29"/>
        <v>153.58000000000001</v>
      </c>
      <c r="I98" s="71">
        <f t="shared" si="30"/>
        <v>2096.5500000000002</v>
      </c>
    </row>
    <row r="99" spans="1:9" ht="63" x14ac:dyDescent="0.25">
      <c r="A99" s="19" t="s">
        <v>445</v>
      </c>
      <c r="B99" s="79" t="s">
        <v>0</v>
      </c>
      <c r="C99" s="79">
        <v>100981</v>
      </c>
      <c r="D99" s="80" t="s">
        <v>249</v>
      </c>
      <c r="E99" s="79" t="s">
        <v>15</v>
      </c>
      <c r="F99" s="81">
        <f>'MEMÓRIA CÁLCULO CONVÊNIO'!D91</f>
        <v>14.551200000000001</v>
      </c>
      <c r="G99" s="10">
        <v>10.18</v>
      </c>
      <c r="H99" s="6">
        <f t="shared" si="29"/>
        <v>12.58</v>
      </c>
      <c r="I99" s="71">
        <f t="shared" si="30"/>
        <v>183.05</v>
      </c>
    </row>
    <row r="100" spans="1:9" ht="15.75" x14ac:dyDescent="0.25">
      <c r="A100" s="133" t="s">
        <v>446</v>
      </c>
      <c r="B100" s="134"/>
      <c r="C100" s="134"/>
      <c r="D100" s="135" t="s">
        <v>106</v>
      </c>
      <c r="E100" s="136"/>
      <c r="F100" s="136"/>
      <c r="G100" s="138"/>
      <c r="H100" s="139"/>
      <c r="I100" s="140">
        <f>SUM(I101:I103)</f>
        <v>43674.409999999996</v>
      </c>
    </row>
    <row r="101" spans="1:9" ht="41.25" customHeight="1" x14ac:dyDescent="0.25">
      <c r="A101" s="19" t="s">
        <v>447</v>
      </c>
      <c r="B101" s="5" t="s">
        <v>0</v>
      </c>
      <c r="C101" s="5">
        <v>87372</v>
      </c>
      <c r="D101" s="20" t="s">
        <v>107</v>
      </c>
      <c r="E101" s="5" t="s">
        <v>15</v>
      </c>
      <c r="F101" s="8">
        <f>'MEMÓRIA CÁLCULO CONVÊNIO'!D93</f>
        <v>10.008000000000001</v>
      </c>
      <c r="G101" s="10">
        <v>779.95</v>
      </c>
      <c r="H101" s="6">
        <f t="shared" ref="H101:H112" si="31">ROUND(G101*(1+$B$7),2)</f>
        <v>963.55</v>
      </c>
      <c r="I101" s="71">
        <f t="shared" ref="I101:I103" si="32">ROUND(H101*F101,2)</f>
        <v>9643.2099999999991</v>
      </c>
    </row>
    <row r="102" spans="1:9" ht="78.75" x14ac:dyDescent="0.25">
      <c r="A102" s="19" t="s">
        <v>448</v>
      </c>
      <c r="B102" s="5" t="s">
        <v>0</v>
      </c>
      <c r="C102" s="5">
        <v>104162</v>
      </c>
      <c r="D102" s="20" t="s">
        <v>102</v>
      </c>
      <c r="E102" s="5" t="s">
        <v>16</v>
      </c>
      <c r="F102" s="8">
        <f>'MEMÓRIA CÁLCULO CONVÊNIO'!D94</f>
        <v>200.16</v>
      </c>
      <c r="G102" s="10">
        <v>101.86</v>
      </c>
      <c r="H102" s="6">
        <f t="shared" si="31"/>
        <v>125.84</v>
      </c>
      <c r="I102" s="71">
        <f t="shared" si="32"/>
        <v>25188.13</v>
      </c>
    </row>
    <row r="103" spans="1:9" ht="17.25" customHeight="1" x14ac:dyDescent="0.25">
      <c r="A103" s="19" t="s">
        <v>449</v>
      </c>
      <c r="B103" s="5" t="s">
        <v>14</v>
      </c>
      <c r="C103" s="5" t="s">
        <v>104</v>
      </c>
      <c r="D103" s="20" t="s">
        <v>103</v>
      </c>
      <c r="E103" s="5" t="s">
        <v>16</v>
      </c>
      <c r="F103" s="8">
        <f>'MEMÓRIA CÁLCULO CONVÊNIO'!D95</f>
        <v>200.16</v>
      </c>
      <c r="G103" s="10">
        <v>35.76</v>
      </c>
      <c r="H103" s="6">
        <f t="shared" si="31"/>
        <v>44.18</v>
      </c>
      <c r="I103" s="71">
        <f t="shared" si="32"/>
        <v>8843.07</v>
      </c>
    </row>
    <row r="104" spans="1:9" ht="17.25" customHeight="1" x14ac:dyDescent="0.25">
      <c r="A104" s="133" t="s">
        <v>450</v>
      </c>
      <c r="B104" s="134"/>
      <c r="C104" s="134"/>
      <c r="D104" s="135" t="s">
        <v>142</v>
      </c>
      <c r="E104" s="136"/>
      <c r="F104" s="136"/>
      <c r="G104" s="138"/>
      <c r="H104" s="139"/>
      <c r="I104" s="140">
        <f>SUM(I105:I106)</f>
        <v>41016.550000000003</v>
      </c>
    </row>
    <row r="105" spans="1:9" ht="30" customHeight="1" x14ac:dyDescent="0.25">
      <c r="A105" s="19" t="s">
        <v>451</v>
      </c>
      <c r="B105" s="5" t="s">
        <v>78</v>
      </c>
      <c r="C105" s="5" t="s">
        <v>79</v>
      </c>
      <c r="D105" s="20" t="s">
        <v>80</v>
      </c>
      <c r="E105" s="5" t="s">
        <v>16</v>
      </c>
      <c r="F105" s="8">
        <f>'MEMÓRIA CÁLCULO CONVÊNIO'!D97</f>
        <v>605.23</v>
      </c>
      <c r="G105" s="10">
        <f>'composição CP 01'!F10</f>
        <v>28.39461</v>
      </c>
      <c r="H105" s="6">
        <f t="shared" si="31"/>
        <v>35.08</v>
      </c>
      <c r="I105" s="71">
        <f t="shared" ref="I105:I106" si="33">ROUND(H105*F105,2)</f>
        <v>21231.47</v>
      </c>
    </row>
    <row r="106" spans="1:9" ht="15.75" x14ac:dyDescent="0.25">
      <c r="A106" s="19" t="s">
        <v>452</v>
      </c>
      <c r="B106" s="5" t="s">
        <v>75</v>
      </c>
      <c r="C106" s="5" t="s">
        <v>109</v>
      </c>
      <c r="D106" s="20" t="s">
        <v>108</v>
      </c>
      <c r="E106" s="5" t="s">
        <v>16</v>
      </c>
      <c r="F106" s="8">
        <f>'MEMÓRIA CÁLCULO CONVÊNIO'!D98</f>
        <v>109.85</v>
      </c>
      <c r="G106" s="10">
        <f>189.34*(1-0.23)</f>
        <v>145.79179999999999</v>
      </c>
      <c r="H106" s="6">
        <f t="shared" si="31"/>
        <v>180.11</v>
      </c>
      <c r="I106" s="71">
        <f t="shared" si="33"/>
        <v>19785.080000000002</v>
      </c>
    </row>
    <row r="107" spans="1:9" ht="20.25" customHeight="1" x14ac:dyDescent="0.25">
      <c r="A107" s="133" t="s">
        <v>453</v>
      </c>
      <c r="B107" s="134"/>
      <c r="C107" s="134"/>
      <c r="D107" s="135" t="s">
        <v>112</v>
      </c>
      <c r="E107" s="136"/>
      <c r="F107" s="136"/>
      <c r="G107" s="138"/>
      <c r="H107" s="139"/>
      <c r="I107" s="140">
        <f>SUM(I108:I112)</f>
        <v>2808.84</v>
      </c>
    </row>
    <row r="108" spans="1:9" ht="30" customHeight="1" x14ac:dyDescent="0.25">
      <c r="A108" s="19" t="s">
        <v>454</v>
      </c>
      <c r="B108" s="79" t="s">
        <v>0</v>
      </c>
      <c r="C108" s="79">
        <v>97631</v>
      </c>
      <c r="D108" s="80" t="s">
        <v>60</v>
      </c>
      <c r="E108" s="79" t="s">
        <v>16</v>
      </c>
      <c r="F108" s="81">
        <f>'MEMÓRIA CÁLCULO CONVÊNIO'!D100</f>
        <v>21.6</v>
      </c>
      <c r="G108" s="10">
        <v>15.44</v>
      </c>
      <c r="H108" s="6">
        <f t="shared" si="31"/>
        <v>19.07</v>
      </c>
      <c r="I108" s="71">
        <f t="shared" ref="I108:I112" si="34">ROUND(H108*F108,2)</f>
        <v>411.91</v>
      </c>
    </row>
    <row r="109" spans="1:9" ht="65.25" customHeight="1" x14ac:dyDescent="0.25">
      <c r="A109" s="19" t="s">
        <v>455</v>
      </c>
      <c r="B109" s="79" t="s">
        <v>0</v>
      </c>
      <c r="C109" s="79">
        <v>100981</v>
      </c>
      <c r="D109" s="80" t="s">
        <v>249</v>
      </c>
      <c r="E109" s="79" t="s">
        <v>15</v>
      </c>
      <c r="F109" s="81">
        <f>'MEMÓRIA CÁLCULO CONVÊNIO'!D101</f>
        <v>1.08</v>
      </c>
      <c r="G109" s="10">
        <v>10.18</v>
      </c>
      <c r="H109" s="6">
        <f t="shared" si="31"/>
        <v>12.58</v>
      </c>
      <c r="I109" s="71">
        <f t="shared" si="34"/>
        <v>13.59</v>
      </c>
    </row>
    <row r="110" spans="1:9" ht="41.25" customHeight="1" x14ac:dyDescent="0.25">
      <c r="A110" s="19" t="s">
        <v>456</v>
      </c>
      <c r="B110" s="79" t="s">
        <v>0</v>
      </c>
      <c r="C110" s="79">
        <v>98555</v>
      </c>
      <c r="D110" s="80" t="s">
        <v>61</v>
      </c>
      <c r="E110" s="79" t="s">
        <v>16</v>
      </c>
      <c r="F110" s="81">
        <f>'MEMÓRIA CÁLCULO CONVÊNIO'!D102</f>
        <v>21.6</v>
      </c>
      <c r="G110" s="10">
        <v>35.770000000000003</v>
      </c>
      <c r="H110" s="6">
        <f t="shared" si="31"/>
        <v>44.19</v>
      </c>
      <c r="I110" s="71">
        <f t="shared" si="34"/>
        <v>954.5</v>
      </c>
    </row>
    <row r="111" spans="1:9" ht="63.75" customHeight="1" x14ac:dyDescent="0.25">
      <c r="A111" s="19" t="s">
        <v>457</v>
      </c>
      <c r="B111" s="79" t="s">
        <v>0</v>
      </c>
      <c r="C111" s="79">
        <v>87881</v>
      </c>
      <c r="D111" s="80" t="s">
        <v>113</v>
      </c>
      <c r="E111" s="79" t="s">
        <v>16</v>
      </c>
      <c r="F111" s="81">
        <f>'MEMÓRIA CÁLCULO CONVÊNIO'!D103</f>
        <v>21.6</v>
      </c>
      <c r="G111" s="10">
        <v>6.63</v>
      </c>
      <c r="H111" s="6">
        <f t="shared" si="31"/>
        <v>8.19</v>
      </c>
      <c r="I111" s="71">
        <f t="shared" si="34"/>
        <v>176.9</v>
      </c>
    </row>
    <row r="112" spans="1:9" ht="50.25" customHeight="1" x14ac:dyDescent="0.25">
      <c r="A112" s="66" t="s">
        <v>458</v>
      </c>
      <c r="B112" s="82" t="s">
        <v>0</v>
      </c>
      <c r="C112" s="82">
        <v>90406</v>
      </c>
      <c r="D112" s="83" t="s">
        <v>114</v>
      </c>
      <c r="E112" s="82" t="s">
        <v>16</v>
      </c>
      <c r="F112" s="84">
        <f>'MEMÓRIA CÁLCULO CONVÊNIO'!D104</f>
        <v>21.6</v>
      </c>
      <c r="G112" s="67">
        <v>46.92</v>
      </c>
      <c r="H112" s="6">
        <f t="shared" si="31"/>
        <v>57.96</v>
      </c>
      <c r="I112" s="71">
        <f t="shared" si="34"/>
        <v>1251.94</v>
      </c>
    </row>
    <row r="113" spans="1:9" ht="21" customHeight="1" x14ac:dyDescent="0.25">
      <c r="A113" s="142" t="s">
        <v>459</v>
      </c>
      <c r="B113" s="143"/>
      <c r="C113" s="143"/>
      <c r="D113" s="144" t="s">
        <v>117</v>
      </c>
      <c r="E113" s="145"/>
      <c r="F113" s="145"/>
      <c r="G113" s="147"/>
      <c r="H113" s="147"/>
      <c r="I113" s="148">
        <f>I114+I116+I122</f>
        <v>10397.32</v>
      </c>
    </row>
    <row r="114" spans="1:9" ht="21" customHeight="1" x14ac:dyDescent="0.25">
      <c r="A114" s="133" t="s">
        <v>460</v>
      </c>
      <c r="B114" s="134"/>
      <c r="C114" s="134"/>
      <c r="D114" s="135" t="s">
        <v>118</v>
      </c>
      <c r="E114" s="136"/>
      <c r="F114" s="136"/>
      <c r="G114" s="138"/>
      <c r="H114" s="139"/>
      <c r="I114" s="140">
        <f>I115</f>
        <v>973.22</v>
      </c>
    </row>
    <row r="115" spans="1:9" ht="31.5" x14ac:dyDescent="0.25">
      <c r="A115" s="19" t="s">
        <v>461</v>
      </c>
      <c r="B115" s="5" t="s">
        <v>14</v>
      </c>
      <c r="C115" s="5" t="s">
        <v>132</v>
      </c>
      <c r="D115" s="20" t="s">
        <v>133</v>
      </c>
      <c r="E115" s="85" t="s">
        <v>16</v>
      </c>
      <c r="F115" s="34">
        <f>'MEMÓRIA CÁLCULO CONVÊNIO'!D107</f>
        <v>2.4</v>
      </c>
      <c r="G115" s="10">
        <v>328.24</v>
      </c>
      <c r="H115" s="6">
        <f t="shared" ref="H115" si="35">ROUND(G115*(1+$B$7),2)</f>
        <v>405.51</v>
      </c>
      <c r="I115" s="71">
        <f t="shared" ref="I115" si="36">ROUND(H115*F115,2)</f>
        <v>973.22</v>
      </c>
    </row>
    <row r="116" spans="1:9" ht="24" customHeight="1" x14ac:dyDescent="0.25">
      <c r="A116" s="133" t="s">
        <v>462</v>
      </c>
      <c r="B116" s="134"/>
      <c r="C116" s="134"/>
      <c r="D116" s="135" t="s">
        <v>200</v>
      </c>
      <c r="E116" s="136"/>
      <c r="F116" s="136"/>
      <c r="G116" s="138"/>
      <c r="H116" s="139"/>
      <c r="I116" s="140">
        <f>SUM(I117:I121)</f>
        <v>5098.3799999999992</v>
      </c>
    </row>
    <row r="117" spans="1:9" ht="15.75" x14ac:dyDescent="0.25">
      <c r="A117" s="19" t="s">
        <v>463</v>
      </c>
      <c r="B117" s="30" t="s">
        <v>14</v>
      </c>
      <c r="C117" s="28" t="s">
        <v>148</v>
      </c>
      <c r="D117" s="29" t="s">
        <v>147</v>
      </c>
      <c r="E117" s="28" t="s">
        <v>6</v>
      </c>
      <c r="F117" s="8">
        <f>'MEMÓRIA CÁLCULO CONVÊNIO'!D109</f>
        <v>2</v>
      </c>
      <c r="G117" s="10">
        <v>23.77</v>
      </c>
      <c r="H117" s="6">
        <f t="shared" ref="H117:H121" si="37">ROUND(G117*(1+$B$7),2)</f>
        <v>29.37</v>
      </c>
      <c r="I117" s="71">
        <f t="shared" ref="I117:I121" si="38">ROUND(H117*F117,2)</f>
        <v>58.74</v>
      </c>
    </row>
    <row r="118" spans="1:9" ht="31.5" x14ac:dyDescent="0.25">
      <c r="A118" s="19" t="s">
        <v>464</v>
      </c>
      <c r="B118" s="30" t="s">
        <v>14</v>
      </c>
      <c r="C118" s="28" t="s">
        <v>150</v>
      </c>
      <c r="D118" s="29" t="s">
        <v>149</v>
      </c>
      <c r="E118" s="28" t="s">
        <v>11</v>
      </c>
      <c r="F118" s="8">
        <f>'MEMÓRIA CÁLCULO CONVÊNIO'!D110</f>
        <v>5</v>
      </c>
      <c r="G118" s="10">
        <v>14.26</v>
      </c>
      <c r="H118" s="6">
        <f t="shared" si="37"/>
        <v>17.62</v>
      </c>
      <c r="I118" s="71">
        <f t="shared" si="38"/>
        <v>88.1</v>
      </c>
    </row>
    <row r="119" spans="1:9" ht="91.5" customHeight="1" x14ac:dyDescent="0.25">
      <c r="A119" s="19" t="s">
        <v>465</v>
      </c>
      <c r="B119" s="5" t="s">
        <v>0</v>
      </c>
      <c r="C119" s="5">
        <v>100693</v>
      </c>
      <c r="D119" s="20" t="s">
        <v>198</v>
      </c>
      <c r="E119" s="85" t="s">
        <v>6</v>
      </c>
      <c r="F119" s="34">
        <f>'MEMÓRIA CÁLCULO CONVÊNIO'!D111</f>
        <v>1</v>
      </c>
      <c r="G119" s="10">
        <v>2197.65</v>
      </c>
      <c r="H119" s="6">
        <f t="shared" si="37"/>
        <v>2714.98</v>
      </c>
      <c r="I119" s="71">
        <f t="shared" si="38"/>
        <v>2714.98</v>
      </c>
    </row>
    <row r="120" spans="1:9" ht="47.25" x14ac:dyDescent="0.25">
      <c r="A120" s="19" t="s">
        <v>466</v>
      </c>
      <c r="B120" s="5" t="s">
        <v>0</v>
      </c>
      <c r="C120" s="5">
        <v>91299</v>
      </c>
      <c r="D120" s="20" t="s">
        <v>199</v>
      </c>
      <c r="E120" s="85" t="s">
        <v>6</v>
      </c>
      <c r="F120" s="34">
        <f>'MEMÓRIA CÁLCULO CONVÊNIO'!D112</f>
        <v>1</v>
      </c>
      <c r="G120" s="10">
        <v>1313.61</v>
      </c>
      <c r="H120" s="6">
        <f t="shared" si="37"/>
        <v>1622.83</v>
      </c>
      <c r="I120" s="71">
        <f t="shared" si="38"/>
        <v>1622.83</v>
      </c>
    </row>
    <row r="121" spans="1:9" ht="47.25" x14ac:dyDescent="0.25">
      <c r="A121" s="19" t="s">
        <v>467</v>
      </c>
      <c r="B121" s="5" t="s">
        <v>14</v>
      </c>
      <c r="C121" s="5" t="s">
        <v>232</v>
      </c>
      <c r="D121" s="20" t="s">
        <v>231</v>
      </c>
      <c r="E121" s="5" t="s">
        <v>159</v>
      </c>
      <c r="F121" s="77">
        <f>'MEMÓRIA CÁLCULO CONVÊNIO'!D113</f>
        <v>1</v>
      </c>
      <c r="G121" s="78">
        <v>496.79</v>
      </c>
      <c r="H121" s="6">
        <f t="shared" si="37"/>
        <v>613.73</v>
      </c>
      <c r="I121" s="71">
        <f t="shared" si="38"/>
        <v>613.73</v>
      </c>
    </row>
    <row r="122" spans="1:9" ht="24.75" customHeight="1" x14ac:dyDescent="0.25">
      <c r="A122" s="133" t="s">
        <v>627</v>
      </c>
      <c r="B122" s="134"/>
      <c r="C122" s="134"/>
      <c r="D122" s="135" t="s">
        <v>628</v>
      </c>
      <c r="E122" s="136"/>
      <c r="F122" s="136"/>
      <c r="G122" s="138"/>
      <c r="H122" s="139"/>
      <c r="I122" s="140">
        <f>SUM(I123:I125)</f>
        <v>4325.7199999999993</v>
      </c>
    </row>
    <row r="123" spans="1:9" ht="41.25" customHeight="1" x14ac:dyDescent="0.25">
      <c r="A123" s="19" t="s">
        <v>633</v>
      </c>
      <c r="B123" s="5" t="s">
        <v>14</v>
      </c>
      <c r="C123" s="5" t="s">
        <v>630</v>
      </c>
      <c r="D123" s="20" t="s">
        <v>629</v>
      </c>
      <c r="E123" s="5" t="s">
        <v>16</v>
      </c>
      <c r="F123" s="77">
        <f>'MEMÓRIA CÁLCULO CONVÊNIO'!D115</f>
        <v>14.29</v>
      </c>
      <c r="G123" s="78">
        <v>15.62</v>
      </c>
      <c r="H123" s="6">
        <f t="shared" ref="H123:H125" si="39">ROUND(G123*(1+$B$7),2)</f>
        <v>19.3</v>
      </c>
      <c r="I123" s="71">
        <f t="shared" ref="I123:I125" si="40">ROUND(H123*F123,2)</f>
        <v>275.8</v>
      </c>
    </row>
    <row r="124" spans="1:9" ht="15.75" x14ac:dyDescent="0.25">
      <c r="A124" s="19" t="s">
        <v>634</v>
      </c>
      <c r="B124" s="5" t="s">
        <v>14</v>
      </c>
      <c r="C124" s="5" t="s">
        <v>632</v>
      </c>
      <c r="D124" s="20" t="s">
        <v>631</v>
      </c>
      <c r="E124" s="5" t="s">
        <v>16</v>
      </c>
      <c r="F124" s="77">
        <f>'MEMÓRIA CÁLCULO CONVÊNIO'!D116</f>
        <v>14.29</v>
      </c>
      <c r="G124" s="78">
        <v>228.9</v>
      </c>
      <c r="H124" s="6">
        <f t="shared" si="39"/>
        <v>282.77999999999997</v>
      </c>
      <c r="I124" s="71">
        <f t="shared" si="40"/>
        <v>4040.93</v>
      </c>
    </row>
    <row r="125" spans="1:9" ht="63" x14ac:dyDescent="0.25">
      <c r="A125" s="19" t="s">
        <v>635</v>
      </c>
      <c r="B125" s="79" t="s">
        <v>0</v>
      </c>
      <c r="C125" s="79">
        <v>100981</v>
      </c>
      <c r="D125" s="80" t="s">
        <v>249</v>
      </c>
      <c r="E125" s="79" t="s">
        <v>15</v>
      </c>
      <c r="F125" s="81">
        <f>'MEMÓRIA CÁLCULO CONVÊNIO'!D117</f>
        <v>0.71450000000000002</v>
      </c>
      <c r="G125" s="10">
        <v>10.18</v>
      </c>
      <c r="H125" s="6">
        <f t="shared" si="39"/>
        <v>12.58</v>
      </c>
      <c r="I125" s="71">
        <f t="shared" si="40"/>
        <v>8.99</v>
      </c>
    </row>
    <row r="126" spans="1:9" ht="23.25" customHeight="1" x14ac:dyDescent="0.25">
      <c r="A126" s="142" t="s">
        <v>468</v>
      </c>
      <c r="B126" s="143"/>
      <c r="C126" s="143"/>
      <c r="D126" s="144" t="s">
        <v>434</v>
      </c>
      <c r="E126" s="145"/>
      <c r="F126" s="145"/>
      <c r="G126" s="147"/>
      <c r="H126" s="147"/>
      <c r="I126" s="148">
        <f>I127</f>
        <v>69168.600000000006</v>
      </c>
    </row>
    <row r="127" spans="1:9" ht="15.75" x14ac:dyDescent="0.25">
      <c r="A127" s="19" t="s">
        <v>469</v>
      </c>
      <c r="B127" s="5" t="s">
        <v>14</v>
      </c>
      <c r="C127" s="5" t="s">
        <v>239</v>
      </c>
      <c r="D127" s="20" t="s">
        <v>238</v>
      </c>
      <c r="E127" s="5" t="s">
        <v>240</v>
      </c>
      <c r="F127" s="8">
        <f>'MEMÓRIA CÁLCULO CONVÊNIO'!D119</f>
        <v>12809</v>
      </c>
      <c r="G127" s="10">
        <v>4.37</v>
      </c>
      <c r="H127" s="6">
        <f t="shared" ref="H127" si="41">ROUND(G127*(1+$B$7),2)</f>
        <v>5.4</v>
      </c>
      <c r="I127" s="71">
        <f t="shared" ref="I127" si="42">ROUND(H127*F127,2)</f>
        <v>69168.600000000006</v>
      </c>
    </row>
    <row r="128" spans="1:9" ht="22.5" customHeight="1" x14ac:dyDescent="0.25">
      <c r="A128" s="142" t="s">
        <v>470</v>
      </c>
      <c r="B128" s="143"/>
      <c r="C128" s="143"/>
      <c r="D128" s="144" t="s">
        <v>534</v>
      </c>
      <c r="E128" s="145"/>
      <c r="F128" s="145"/>
      <c r="G128" s="147"/>
      <c r="H128" s="147"/>
      <c r="I128" s="148">
        <f>I129</f>
        <v>38588.22</v>
      </c>
    </row>
    <row r="129" spans="1:9" ht="31.5" x14ac:dyDescent="0.25">
      <c r="A129" s="19" t="s">
        <v>535</v>
      </c>
      <c r="B129" s="5" t="s">
        <v>14</v>
      </c>
      <c r="C129" s="5" t="s">
        <v>333</v>
      </c>
      <c r="D129" s="20" t="s">
        <v>332</v>
      </c>
      <c r="E129" s="5" t="s">
        <v>334</v>
      </c>
      <c r="F129" s="8">
        <f>'MEMÓRIA CÁLCULO CONVÊNIO'!D121</f>
        <v>2</v>
      </c>
      <c r="G129" s="10">
        <v>15617.7</v>
      </c>
      <c r="H129" s="6">
        <f t="shared" ref="H129" si="43">ROUND(G129*(1+$B$7),2)</f>
        <v>19294.11</v>
      </c>
      <c r="I129" s="71">
        <f t="shared" ref="I129" si="44">ROUND(H129*F129,2)</f>
        <v>38588.22</v>
      </c>
    </row>
    <row r="130" spans="1:9" ht="21" customHeight="1" x14ac:dyDescent="0.25">
      <c r="A130" s="142" t="s">
        <v>472</v>
      </c>
      <c r="B130" s="143"/>
      <c r="C130" s="143"/>
      <c r="D130" s="144" t="s">
        <v>471</v>
      </c>
      <c r="E130" s="145"/>
      <c r="F130" s="145"/>
      <c r="G130" s="147"/>
      <c r="H130" s="147"/>
      <c r="I130" s="148">
        <f>SUM(I131:I135)</f>
        <v>35860.75</v>
      </c>
    </row>
    <row r="131" spans="1:9" ht="15.75" x14ac:dyDescent="0.25">
      <c r="A131" s="19" t="s">
        <v>536</v>
      </c>
      <c r="B131" s="5" t="s">
        <v>14</v>
      </c>
      <c r="C131" s="5" t="s">
        <v>189</v>
      </c>
      <c r="D131" s="20" t="s">
        <v>188</v>
      </c>
      <c r="E131" s="5" t="s">
        <v>16</v>
      </c>
      <c r="F131" s="77">
        <f>'MEMÓRIA CÁLCULO CONVÊNIO'!D123</f>
        <v>182</v>
      </c>
      <c r="G131" s="78">
        <v>8.57</v>
      </c>
      <c r="H131" s="6">
        <f t="shared" ref="H131:H137" si="45">ROUND(G131*(1+$B$7),2)</f>
        <v>10.59</v>
      </c>
      <c r="I131" s="71">
        <f t="shared" ref="I131:I135" si="46">ROUND(H131*F131,2)</f>
        <v>1927.38</v>
      </c>
    </row>
    <row r="132" spans="1:9" ht="15.75" x14ac:dyDescent="0.25">
      <c r="A132" s="19" t="s">
        <v>537</v>
      </c>
      <c r="B132" s="5" t="s">
        <v>14</v>
      </c>
      <c r="C132" s="5" t="s">
        <v>191</v>
      </c>
      <c r="D132" s="20" t="s">
        <v>190</v>
      </c>
      <c r="E132" s="5" t="s">
        <v>11</v>
      </c>
      <c r="F132" s="77">
        <f>'MEMÓRIA CÁLCULO CONVÊNIO'!D124</f>
        <v>64.3</v>
      </c>
      <c r="G132" s="78">
        <v>4.93</v>
      </c>
      <c r="H132" s="6">
        <f t="shared" si="45"/>
        <v>6.09</v>
      </c>
      <c r="I132" s="71">
        <f t="shared" si="46"/>
        <v>391.59</v>
      </c>
    </row>
    <row r="133" spans="1:9" ht="31.5" x14ac:dyDescent="0.25">
      <c r="A133" s="19" t="s">
        <v>538</v>
      </c>
      <c r="B133" s="5" t="s">
        <v>0</v>
      </c>
      <c r="C133" s="5">
        <v>94213</v>
      </c>
      <c r="D133" s="20" t="s">
        <v>187</v>
      </c>
      <c r="E133" s="5" t="s">
        <v>16</v>
      </c>
      <c r="F133" s="77">
        <f>'MEMÓRIA CÁLCULO CONVÊNIO'!D125</f>
        <v>182</v>
      </c>
      <c r="G133" s="78">
        <v>75.62</v>
      </c>
      <c r="H133" s="6">
        <f t="shared" si="45"/>
        <v>93.42</v>
      </c>
      <c r="I133" s="71">
        <f t="shared" si="46"/>
        <v>17002.439999999999</v>
      </c>
    </row>
    <row r="134" spans="1:9" ht="47.25" x14ac:dyDescent="0.25">
      <c r="A134" s="19" t="s">
        <v>539</v>
      </c>
      <c r="B134" s="5" t="s">
        <v>0</v>
      </c>
      <c r="C134" s="5">
        <v>94229</v>
      </c>
      <c r="D134" s="20" t="s">
        <v>195</v>
      </c>
      <c r="E134" s="5" t="s">
        <v>11</v>
      </c>
      <c r="F134" s="8">
        <f>'MEMÓRIA CÁLCULO CONVÊNIO'!D126</f>
        <v>64.3</v>
      </c>
      <c r="G134" s="10">
        <v>176.49</v>
      </c>
      <c r="H134" s="6">
        <f t="shared" si="45"/>
        <v>218.04</v>
      </c>
      <c r="I134" s="71">
        <f t="shared" si="46"/>
        <v>14019.97</v>
      </c>
    </row>
    <row r="135" spans="1:9" ht="47.25" x14ac:dyDescent="0.25">
      <c r="A135" s="19" t="s">
        <v>540</v>
      </c>
      <c r="B135" s="5" t="s">
        <v>0</v>
      </c>
      <c r="C135" s="5">
        <v>89580</v>
      </c>
      <c r="D135" s="20" t="s">
        <v>196</v>
      </c>
      <c r="E135" s="5" t="s">
        <v>11</v>
      </c>
      <c r="F135" s="8">
        <f>'MEMÓRIA CÁLCULO CONVÊNIO'!D127</f>
        <v>27</v>
      </c>
      <c r="G135" s="10">
        <v>75.53</v>
      </c>
      <c r="H135" s="6">
        <f t="shared" si="45"/>
        <v>93.31</v>
      </c>
      <c r="I135" s="71">
        <f t="shared" si="46"/>
        <v>2519.37</v>
      </c>
    </row>
    <row r="136" spans="1:9" ht="22.5" customHeight="1" x14ac:dyDescent="0.25">
      <c r="A136" s="133" t="s">
        <v>474</v>
      </c>
      <c r="B136" s="134"/>
      <c r="C136" s="134"/>
      <c r="D136" s="135" t="s">
        <v>473</v>
      </c>
      <c r="E136" s="136"/>
      <c r="F136" s="137"/>
      <c r="G136" s="138"/>
      <c r="H136" s="139"/>
      <c r="I136" s="140">
        <f>I137</f>
        <v>520.79999999999995</v>
      </c>
    </row>
    <row r="137" spans="1:9" ht="15.75" x14ac:dyDescent="0.25">
      <c r="A137" s="19" t="s">
        <v>475</v>
      </c>
      <c r="B137" s="5" t="s">
        <v>75</v>
      </c>
      <c r="C137" s="5" t="s">
        <v>76</v>
      </c>
      <c r="D137" s="45" t="s">
        <v>74</v>
      </c>
      <c r="E137" s="5" t="s">
        <v>11</v>
      </c>
      <c r="F137" s="8">
        <f>'MEMÓRIA CÁLCULO CONVÊNIO'!D129</f>
        <v>30</v>
      </c>
      <c r="G137" s="10">
        <f>18.25*(1-0.23)</f>
        <v>14.0525</v>
      </c>
      <c r="H137" s="6">
        <f t="shared" si="45"/>
        <v>17.36</v>
      </c>
      <c r="I137" s="71">
        <f t="shared" ref="I137" si="47">ROUND(H137*F137,2)</f>
        <v>520.79999999999995</v>
      </c>
    </row>
    <row r="138" spans="1:9" ht="35.25" customHeight="1" x14ac:dyDescent="0.25">
      <c r="A138" s="35" t="s">
        <v>476</v>
      </c>
      <c r="B138" s="40"/>
      <c r="C138" s="40"/>
      <c r="D138" s="41" t="s">
        <v>131</v>
      </c>
      <c r="E138" s="36"/>
      <c r="F138" s="36"/>
      <c r="G138" s="39"/>
      <c r="H138" s="39"/>
      <c r="I138" s="44">
        <f>I139+I150</f>
        <v>14117.57</v>
      </c>
    </row>
    <row r="139" spans="1:9" ht="15.75" x14ac:dyDescent="0.25">
      <c r="A139" s="133" t="s">
        <v>477</v>
      </c>
      <c r="B139" s="134"/>
      <c r="C139" s="134"/>
      <c r="D139" s="135" t="s">
        <v>135</v>
      </c>
      <c r="E139" s="136"/>
      <c r="F139" s="136"/>
      <c r="G139" s="138"/>
      <c r="H139" s="139"/>
      <c r="I139" s="140">
        <f>SUM(I140:I149)</f>
        <v>6661.67</v>
      </c>
    </row>
    <row r="140" spans="1:9" ht="15.75" x14ac:dyDescent="0.25">
      <c r="A140" s="19" t="s">
        <v>478</v>
      </c>
      <c r="B140" s="30" t="s">
        <v>14</v>
      </c>
      <c r="C140" s="28" t="s">
        <v>148</v>
      </c>
      <c r="D140" s="29" t="s">
        <v>147</v>
      </c>
      <c r="E140" s="28" t="s">
        <v>6</v>
      </c>
      <c r="F140" s="8">
        <f>'MEMÓRIA CÁLCULO CONVÊNIO'!D132</f>
        <v>4</v>
      </c>
      <c r="G140" s="10">
        <v>23.77</v>
      </c>
      <c r="H140" s="6">
        <f t="shared" ref="H140:H149" si="48">ROUND(G140*(1+$B$7),2)</f>
        <v>29.37</v>
      </c>
      <c r="I140" s="71">
        <f t="shared" ref="I140:I149" si="49">ROUND(H140*F140,2)</f>
        <v>117.48</v>
      </c>
    </row>
    <row r="141" spans="1:9" ht="31.5" x14ac:dyDescent="0.25">
      <c r="A141" s="19" t="s">
        <v>479</v>
      </c>
      <c r="B141" s="30" t="s">
        <v>14</v>
      </c>
      <c r="C141" s="28" t="s">
        <v>150</v>
      </c>
      <c r="D141" s="29" t="s">
        <v>149</v>
      </c>
      <c r="E141" s="28" t="s">
        <v>11</v>
      </c>
      <c r="F141" s="8">
        <f>'MEMÓRIA CÁLCULO CONVÊNIO'!D133</f>
        <v>11.4</v>
      </c>
      <c r="G141" s="10">
        <v>14.26</v>
      </c>
      <c r="H141" s="6">
        <f t="shared" si="48"/>
        <v>17.62</v>
      </c>
      <c r="I141" s="71">
        <f t="shared" si="49"/>
        <v>200.87</v>
      </c>
    </row>
    <row r="142" spans="1:9" ht="31.5" x14ac:dyDescent="0.25">
      <c r="A142" s="19" t="s">
        <v>480</v>
      </c>
      <c r="B142" s="30" t="s">
        <v>14</v>
      </c>
      <c r="C142" s="28" t="s">
        <v>152</v>
      </c>
      <c r="D142" s="29" t="s">
        <v>151</v>
      </c>
      <c r="E142" s="28" t="s">
        <v>6</v>
      </c>
      <c r="F142" s="8">
        <f>'MEMÓRIA CÁLCULO CONVÊNIO'!D134</f>
        <v>2</v>
      </c>
      <c r="G142" s="10">
        <v>166.33</v>
      </c>
      <c r="H142" s="6">
        <f t="shared" si="48"/>
        <v>205.48</v>
      </c>
      <c r="I142" s="71">
        <f t="shared" si="49"/>
        <v>410.96</v>
      </c>
    </row>
    <row r="143" spans="1:9" ht="15.75" x14ac:dyDescent="0.25">
      <c r="A143" s="19" t="s">
        <v>481</v>
      </c>
      <c r="B143" s="30" t="s">
        <v>14</v>
      </c>
      <c r="C143" s="28" t="s">
        <v>154</v>
      </c>
      <c r="D143" s="29" t="s">
        <v>153</v>
      </c>
      <c r="E143" s="28" t="s">
        <v>6</v>
      </c>
      <c r="F143" s="8">
        <f>'MEMÓRIA CÁLCULO CONVÊNIO'!D135</f>
        <v>2</v>
      </c>
      <c r="G143" s="10">
        <v>61.78</v>
      </c>
      <c r="H143" s="6">
        <f t="shared" si="48"/>
        <v>76.319999999999993</v>
      </c>
      <c r="I143" s="71">
        <f t="shared" si="49"/>
        <v>152.63999999999999</v>
      </c>
    </row>
    <row r="144" spans="1:9" ht="15.75" x14ac:dyDescent="0.25">
      <c r="A144" s="19" t="s">
        <v>482</v>
      </c>
      <c r="B144" s="30" t="s">
        <v>14</v>
      </c>
      <c r="C144" s="28" t="s">
        <v>156</v>
      </c>
      <c r="D144" s="29" t="s">
        <v>155</v>
      </c>
      <c r="E144" s="28" t="s">
        <v>6</v>
      </c>
      <c r="F144" s="8">
        <f>'MEMÓRIA CÁLCULO CONVÊNIO'!D136</f>
        <v>4</v>
      </c>
      <c r="G144" s="10">
        <v>76.03</v>
      </c>
      <c r="H144" s="6">
        <f t="shared" si="48"/>
        <v>93.93</v>
      </c>
      <c r="I144" s="71">
        <f t="shared" si="49"/>
        <v>375.72</v>
      </c>
    </row>
    <row r="145" spans="1:9" ht="15.75" x14ac:dyDescent="0.25">
      <c r="A145" s="19" t="s">
        <v>483</v>
      </c>
      <c r="B145" s="30" t="s">
        <v>14</v>
      </c>
      <c r="C145" s="28" t="s">
        <v>158</v>
      </c>
      <c r="D145" s="29" t="s">
        <v>157</v>
      </c>
      <c r="E145" s="28" t="s">
        <v>11</v>
      </c>
      <c r="F145" s="8">
        <f>'MEMÓRIA CÁLCULO CONVÊNIO'!D137</f>
        <v>11.4</v>
      </c>
      <c r="G145" s="10">
        <v>2.37</v>
      </c>
      <c r="H145" s="6">
        <f t="shared" si="48"/>
        <v>2.93</v>
      </c>
      <c r="I145" s="71">
        <f t="shared" si="49"/>
        <v>33.4</v>
      </c>
    </row>
    <row r="146" spans="1:9" ht="63" x14ac:dyDescent="0.25">
      <c r="A146" s="19" t="s">
        <v>484</v>
      </c>
      <c r="B146" s="30" t="s">
        <v>14</v>
      </c>
      <c r="C146" s="28" t="s">
        <v>161</v>
      </c>
      <c r="D146" s="29" t="s">
        <v>160</v>
      </c>
      <c r="E146" s="28" t="s">
        <v>159</v>
      </c>
      <c r="F146" s="8">
        <f>'MEMÓRIA CÁLCULO CONVÊNIO'!D138</f>
        <v>2</v>
      </c>
      <c r="G146" s="10">
        <v>1418.23</v>
      </c>
      <c r="H146" s="6">
        <f t="shared" si="48"/>
        <v>1752.08</v>
      </c>
      <c r="I146" s="71">
        <f t="shared" si="49"/>
        <v>3504.16</v>
      </c>
    </row>
    <row r="147" spans="1:9" ht="15.75" x14ac:dyDescent="0.25">
      <c r="A147" s="19" t="s">
        <v>485</v>
      </c>
      <c r="B147" s="79" t="s">
        <v>14</v>
      </c>
      <c r="C147" s="79" t="s">
        <v>174</v>
      </c>
      <c r="D147" s="80" t="s">
        <v>173</v>
      </c>
      <c r="E147" s="79" t="s">
        <v>16</v>
      </c>
      <c r="F147" s="86">
        <f>'MEMÓRIA CÁLCULO CONVÊNIO'!D139</f>
        <v>6.44</v>
      </c>
      <c r="G147" s="10">
        <v>131</v>
      </c>
      <c r="H147" s="6">
        <f t="shared" si="48"/>
        <v>161.84</v>
      </c>
      <c r="I147" s="71">
        <f t="shared" si="49"/>
        <v>1042.25</v>
      </c>
    </row>
    <row r="148" spans="1:9" ht="63" x14ac:dyDescent="0.25">
      <c r="A148" s="19" t="s">
        <v>486</v>
      </c>
      <c r="B148" s="79" t="s">
        <v>0</v>
      </c>
      <c r="C148" s="79">
        <v>87893</v>
      </c>
      <c r="D148" s="80" t="s">
        <v>62</v>
      </c>
      <c r="E148" s="79" t="s">
        <v>16</v>
      </c>
      <c r="F148" s="81">
        <f>'MEMÓRIA CÁLCULO CONVÊNIO'!D140</f>
        <v>12.88</v>
      </c>
      <c r="G148" s="10">
        <v>8.5500000000000007</v>
      </c>
      <c r="H148" s="6">
        <f t="shared" si="48"/>
        <v>10.56</v>
      </c>
      <c r="I148" s="71">
        <f t="shared" si="49"/>
        <v>136.01</v>
      </c>
    </row>
    <row r="149" spans="1:9" ht="63" x14ac:dyDescent="0.25">
      <c r="A149" s="19" t="s">
        <v>487</v>
      </c>
      <c r="B149" s="79" t="s">
        <v>0</v>
      </c>
      <c r="C149" s="79">
        <v>87792</v>
      </c>
      <c r="D149" s="80" t="s">
        <v>63</v>
      </c>
      <c r="E149" s="79" t="s">
        <v>16</v>
      </c>
      <c r="F149" s="81">
        <f>'MEMÓRIA CÁLCULO CONVÊNIO'!D141</f>
        <v>12.88</v>
      </c>
      <c r="G149" s="10">
        <v>43.25</v>
      </c>
      <c r="H149" s="6">
        <f t="shared" si="48"/>
        <v>53.43</v>
      </c>
      <c r="I149" s="71">
        <f t="shared" si="49"/>
        <v>688.18</v>
      </c>
    </row>
    <row r="150" spans="1:9" ht="15.75" x14ac:dyDescent="0.25">
      <c r="A150" s="133" t="s">
        <v>488</v>
      </c>
      <c r="B150" s="134"/>
      <c r="C150" s="134"/>
      <c r="D150" s="135" t="s">
        <v>26</v>
      </c>
      <c r="E150" s="136"/>
      <c r="F150" s="136"/>
      <c r="G150" s="138"/>
      <c r="H150" s="139"/>
      <c r="I150" s="140">
        <f>SUM(I151:I153)</f>
        <v>7455.9</v>
      </c>
    </row>
    <row r="151" spans="1:9" ht="15.75" x14ac:dyDescent="0.25">
      <c r="A151" s="19" t="s">
        <v>489</v>
      </c>
      <c r="B151" s="30" t="s">
        <v>14</v>
      </c>
      <c r="C151" s="28" t="s">
        <v>137</v>
      </c>
      <c r="D151" s="29" t="s">
        <v>136</v>
      </c>
      <c r="E151" s="28" t="s">
        <v>11</v>
      </c>
      <c r="F151" s="8">
        <f>'MEMÓRIA CÁLCULO CONVÊNIO'!D143</f>
        <v>50</v>
      </c>
      <c r="G151" s="10">
        <v>55.04</v>
      </c>
      <c r="H151" s="6">
        <f t="shared" ref="H151:H153" si="50">ROUND(G151*(1+$B$7),2)</f>
        <v>68</v>
      </c>
      <c r="I151" s="71">
        <f t="shared" ref="I151:I153" si="51">ROUND(H151*F151,2)</f>
        <v>3400</v>
      </c>
    </row>
    <row r="152" spans="1:9" ht="47.25" x14ac:dyDescent="0.25">
      <c r="A152" s="19" t="s">
        <v>490</v>
      </c>
      <c r="B152" s="5" t="s">
        <v>0</v>
      </c>
      <c r="C152" s="5">
        <v>91930</v>
      </c>
      <c r="D152" s="20" t="s">
        <v>27</v>
      </c>
      <c r="E152" s="5" t="s">
        <v>11</v>
      </c>
      <c r="F152" s="8">
        <f>'MEMÓRIA CÁLCULO CONVÊNIO'!D144</f>
        <v>150</v>
      </c>
      <c r="G152" s="10">
        <v>11.05</v>
      </c>
      <c r="H152" s="6">
        <f t="shared" si="50"/>
        <v>13.65</v>
      </c>
      <c r="I152" s="71">
        <f t="shared" si="51"/>
        <v>2047.5</v>
      </c>
    </row>
    <row r="153" spans="1:9" ht="78.75" x14ac:dyDescent="0.25">
      <c r="A153" s="19" t="s">
        <v>491</v>
      </c>
      <c r="B153" s="5" t="s">
        <v>0</v>
      </c>
      <c r="C153" s="5">
        <v>10527</v>
      </c>
      <c r="D153" s="20" t="s">
        <v>43</v>
      </c>
      <c r="E153" s="5" t="s">
        <v>54</v>
      </c>
      <c r="F153" s="8">
        <f>'MEMÓRIA CÁLCULO CONVÊNIO'!D145</f>
        <v>10</v>
      </c>
      <c r="G153" s="10">
        <v>162.57</v>
      </c>
      <c r="H153" s="6">
        <f t="shared" si="50"/>
        <v>200.84</v>
      </c>
      <c r="I153" s="71">
        <f t="shared" si="51"/>
        <v>2008.4</v>
      </c>
    </row>
    <row r="154" spans="1:9" ht="39" customHeight="1" x14ac:dyDescent="0.25">
      <c r="A154" s="35" t="s">
        <v>492</v>
      </c>
      <c r="B154" s="40"/>
      <c r="C154" s="40"/>
      <c r="D154" s="41" t="s">
        <v>122</v>
      </c>
      <c r="E154" s="36"/>
      <c r="F154" s="36"/>
      <c r="G154" s="39"/>
      <c r="H154" s="39"/>
      <c r="I154" s="44">
        <f>I155+I157+I159</f>
        <v>121856.81999999999</v>
      </c>
    </row>
    <row r="155" spans="1:9" ht="15.75" x14ac:dyDescent="0.25">
      <c r="A155" s="133" t="s">
        <v>493</v>
      </c>
      <c r="B155" s="134"/>
      <c r="C155" s="134"/>
      <c r="D155" s="135" t="s">
        <v>123</v>
      </c>
      <c r="E155" s="136"/>
      <c r="F155" s="136"/>
      <c r="G155" s="138"/>
      <c r="H155" s="139"/>
      <c r="I155" s="140">
        <f>I156</f>
        <v>1058.01</v>
      </c>
    </row>
    <row r="156" spans="1:9" ht="47.25" x14ac:dyDescent="0.25">
      <c r="A156" s="19" t="s">
        <v>494</v>
      </c>
      <c r="B156" s="30" t="s">
        <v>14</v>
      </c>
      <c r="C156" s="5" t="s">
        <v>125</v>
      </c>
      <c r="D156" s="20" t="s">
        <v>124</v>
      </c>
      <c r="E156" s="28" t="s">
        <v>15</v>
      </c>
      <c r="F156" s="8">
        <f>'MEMÓRIA CÁLCULO CONVÊNIO'!D148</f>
        <v>30.237500000000001</v>
      </c>
      <c r="G156" s="10">
        <v>28.32</v>
      </c>
      <c r="H156" s="6">
        <f t="shared" ref="H156" si="52">ROUND(G156*(1+$B$7),2)</f>
        <v>34.99</v>
      </c>
      <c r="I156" s="71">
        <f t="shared" ref="I156" si="53">ROUND(H156*F156,2)</f>
        <v>1058.01</v>
      </c>
    </row>
    <row r="157" spans="1:9" ht="15.75" x14ac:dyDescent="0.25">
      <c r="A157" s="133" t="s">
        <v>495</v>
      </c>
      <c r="B157" s="134"/>
      <c r="C157" s="134"/>
      <c r="D157" s="135" t="s">
        <v>126</v>
      </c>
      <c r="E157" s="136"/>
      <c r="F157" s="136"/>
      <c r="G157" s="138"/>
      <c r="H157" s="139"/>
      <c r="I157" s="140">
        <f>I158</f>
        <v>97534.080000000002</v>
      </c>
    </row>
    <row r="158" spans="1:9" ht="31.5" x14ac:dyDescent="0.25">
      <c r="A158" s="19" t="s">
        <v>496</v>
      </c>
      <c r="B158" s="30" t="s">
        <v>75</v>
      </c>
      <c r="C158" s="5" t="s">
        <v>146</v>
      </c>
      <c r="D158" s="20" t="s">
        <v>145</v>
      </c>
      <c r="E158" s="5" t="s">
        <v>16</v>
      </c>
      <c r="F158" s="8">
        <f>'MEMÓRIA CÁLCULO CONVÊNIO'!D150</f>
        <v>604.75</v>
      </c>
      <c r="G158" s="10">
        <f>169.54*(1-0.23)</f>
        <v>130.54579999999999</v>
      </c>
      <c r="H158" s="6">
        <f t="shared" ref="H158" si="54">ROUND(G158*(1+$B$7),2)</f>
        <v>161.28</v>
      </c>
      <c r="I158" s="71">
        <f t="shared" ref="I158" si="55">ROUND(H158*F158,2)</f>
        <v>97534.080000000002</v>
      </c>
    </row>
    <row r="159" spans="1:9" ht="15.75" x14ac:dyDescent="0.25">
      <c r="A159" s="133" t="s">
        <v>497</v>
      </c>
      <c r="B159" s="134"/>
      <c r="C159" s="134"/>
      <c r="D159" s="135" t="s">
        <v>129</v>
      </c>
      <c r="E159" s="136"/>
      <c r="F159" s="136"/>
      <c r="G159" s="138"/>
      <c r="H159" s="139"/>
      <c r="I159" s="140">
        <f>I160</f>
        <v>23264.73</v>
      </c>
    </row>
    <row r="160" spans="1:9" ht="31.5" x14ac:dyDescent="0.25">
      <c r="A160" s="66" t="s">
        <v>498</v>
      </c>
      <c r="B160" s="68" t="s">
        <v>0</v>
      </c>
      <c r="C160" s="60">
        <v>102492</v>
      </c>
      <c r="D160" s="63" t="s">
        <v>36</v>
      </c>
      <c r="E160" s="60" t="s">
        <v>16</v>
      </c>
      <c r="F160" s="69">
        <f>'MEMÓRIA CÁLCULO CONVÊNIO'!D152</f>
        <v>604.75</v>
      </c>
      <c r="G160" s="67">
        <v>31.14</v>
      </c>
      <c r="H160" s="6">
        <f t="shared" ref="H160" si="56">ROUND(G160*(1+$B$7),2)</f>
        <v>38.47</v>
      </c>
      <c r="I160" s="71">
        <f t="shared" ref="I160" si="57">ROUND(H160*F160,2)</f>
        <v>23264.73</v>
      </c>
    </row>
    <row r="161" spans="1:9" ht="35.25" customHeight="1" x14ac:dyDescent="0.25">
      <c r="A161" s="35" t="s">
        <v>499</v>
      </c>
      <c r="B161" s="40"/>
      <c r="C161" s="40"/>
      <c r="D161" s="41" t="s">
        <v>164</v>
      </c>
      <c r="E161" s="36"/>
      <c r="F161" s="36"/>
      <c r="G161" s="39"/>
      <c r="H161" s="39"/>
      <c r="I161" s="44">
        <f>I162+I166+I171+I173</f>
        <v>12055.45</v>
      </c>
    </row>
    <row r="162" spans="1:9" ht="15.75" x14ac:dyDescent="0.25">
      <c r="A162" s="133" t="s">
        <v>500</v>
      </c>
      <c r="B162" s="134"/>
      <c r="C162" s="134"/>
      <c r="D162" s="135" t="s">
        <v>123</v>
      </c>
      <c r="E162" s="136"/>
      <c r="F162" s="136"/>
      <c r="G162" s="138"/>
      <c r="H162" s="139"/>
      <c r="I162" s="140">
        <f>SUM(I163:I165)</f>
        <v>513.29</v>
      </c>
    </row>
    <row r="163" spans="1:9" ht="31.5" x14ac:dyDescent="0.25">
      <c r="A163" s="19" t="s">
        <v>501</v>
      </c>
      <c r="B163" s="5" t="s">
        <v>0</v>
      </c>
      <c r="C163" s="5">
        <v>97622</v>
      </c>
      <c r="D163" s="20" t="s">
        <v>44</v>
      </c>
      <c r="E163" s="5" t="s">
        <v>16</v>
      </c>
      <c r="F163" s="77">
        <f>'MEMÓRIA CÁLCULO CONVÊNIO'!D155</f>
        <v>0.57824999999999993</v>
      </c>
      <c r="G163" s="78">
        <v>77.42</v>
      </c>
      <c r="H163" s="6">
        <f t="shared" ref="H163:H165" si="58">ROUND(G163*(1+$B$7),2)</f>
        <v>95.64</v>
      </c>
      <c r="I163" s="71">
        <f t="shared" ref="I163:I165" si="59">ROUND(H163*F163,2)</f>
        <v>55.3</v>
      </c>
    </row>
    <row r="164" spans="1:9" ht="31.5" x14ac:dyDescent="0.25">
      <c r="A164" s="19" t="s">
        <v>502</v>
      </c>
      <c r="B164" s="79" t="s">
        <v>0</v>
      </c>
      <c r="C164" s="79">
        <v>97631</v>
      </c>
      <c r="D164" s="80" t="s">
        <v>60</v>
      </c>
      <c r="E164" s="79" t="s">
        <v>16</v>
      </c>
      <c r="F164" s="81">
        <f>'MEMÓRIA CÁLCULO CONVÊNIO'!D156</f>
        <v>22.880000000000003</v>
      </c>
      <c r="G164" s="10">
        <v>15.44</v>
      </c>
      <c r="H164" s="6">
        <f t="shared" si="58"/>
        <v>19.07</v>
      </c>
      <c r="I164" s="71">
        <f t="shared" si="59"/>
        <v>436.32</v>
      </c>
    </row>
    <row r="165" spans="1:9" ht="63" x14ac:dyDescent="0.25">
      <c r="A165" s="19" t="s">
        <v>503</v>
      </c>
      <c r="B165" s="79" t="s">
        <v>0</v>
      </c>
      <c r="C165" s="79">
        <v>100981</v>
      </c>
      <c r="D165" s="80" t="s">
        <v>249</v>
      </c>
      <c r="E165" s="79" t="s">
        <v>15</v>
      </c>
      <c r="F165" s="81">
        <f>'MEMÓRIA CÁLCULO CONVÊNIO'!D157</f>
        <v>1.7222500000000001</v>
      </c>
      <c r="G165" s="10">
        <v>10.18</v>
      </c>
      <c r="H165" s="6">
        <f t="shared" si="58"/>
        <v>12.58</v>
      </c>
      <c r="I165" s="71">
        <f t="shared" si="59"/>
        <v>21.67</v>
      </c>
    </row>
    <row r="166" spans="1:9" ht="15.75" x14ac:dyDescent="0.25">
      <c r="A166" s="133" t="s">
        <v>504</v>
      </c>
      <c r="B166" s="134"/>
      <c r="C166" s="134"/>
      <c r="D166" s="135" t="s">
        <v>165</v>
      </c>
      <c r="E166" s="136"/>
      <c r="F166" s="136"/>
      <c r="G166" s="138"/>
      <c r="H166" s="139"/>
      <c r="I166" s="140">
        <f>SUM(I167:I170)</f>
        <v>2762.99</v>
      </c>
    </row>
    <row r="167" spans="1:9" ht="31.5" x14ac:dyDescent="0.25">
      <c r="A167" s="19" t="s">
        <v>505</v>
      </c>
      <c r="B167" s="79" t="s">
        <v>0</v>
      </c>
      <c r="C167" s="79">
        <v>98555</v>
      </c>
      <c r="D167" s="80" t="s">
        <v>61</v>
      </c>
      <c r="E167" s="79" t="s">
        <v>16</v>
      </c>
      <c r="F167" s="81">
        <f>'MEMÓRIA CÁLCULO CONVÊNIO'!D159</f>
        <v>22.880000000000003</v>
      </c>
      <c r="G167" s="10">
        <v>35.770000000000003</v>
      </c>
      <c r="H167" s="6">
        <f t="shared" ref="H167:H170" si="60">ROUND(G167*(1+$B$7),2)</f>
        <v>44.19</v>
      </c>
      <c r="I167" s="71">
        <f t="shared" ref="I167:I170" si="61">ROUND(H167*F167,2)</f>
        <v>1011.07</v>
      </c>
    </row>
    <row r="168" spans="1:9" ht="63" x14ac:dyDescent="0.25">
      <c r="A168" s="19" t="s">
        <v>506</v>
      </c>
      <c r="B168" s="79" t="s">
        <v>0</v>
      </c>
      <c r="C168" s="79">
        <v>87893</v>
      </c>
      <c r="D168" s="80" t="s">
        <v>62</v>
      </c>
      <c r="E168" s="79" t="s">
        <v>16</v>
      </c>
      <c r="F168" s="81">
        <f>'MEMÓRIA CÁLCULO CONVÊNIO'!D160</f>
        <v>22.880000000000003</v>
      </c>
      <c r="G168" s="10">
        <v>8.5500000000000007</v>
      </c>
      <c r="H168" s="6">
        <f t="shared" si="60"/>
        <v>10.56</v>
      </c>
      <c r="I168" s="71">
        <f t="shared" si="61"/>
        <v>241.61</v>
      </c>
    </row>
    <row r="169" spans="1:9" ht="60" customHeight="1" x14ac:dyDescent="0.25">
      <c r="A169" s="19" t="s">
        <v>507</v>
      </c>
      <c r="B169" s="79" t="s">
        <v>0</v>
      </c>
      <c r="C169" s="79">
        <v>87792</v>
      </c>
      <c r="D169" s="80" t="s">
        <v>63</v>
      </c>
      <c r="E169" s="79" t="s">
        <v>16</v>
      </c>
      <c r="F169" s="81">
        <f>'MEMÓRIA CÁLCULO CONVÊNIO'!D161</f>
        <v>22.880000000000003</v>
      </c>
      <c r="G169" s="10">
        <v>43.25</v>
      </c>
      <c r="H169" s="6">
        <f t="shared" si="60"/>
        <v>53.43</v>
      </c>
      <c r="I169" s="71">
        <f t="shared" si="61"/>
        <v>1222.48</v>
      </c>
    </row>
    <row r="170" spans="1:9" ht="39" customHeight="1" x14ac:dyDescent="0.25">
      <c r="A170" s="19" t="s">
        <v>508</v>
      </c>
      <c r="B170" s="5" t="s">
        <v>14</v>
      </c>
      <c r="C170" s="5" t="s">
        <v>176</v>
      </c>
      <c r="D170" s="20" t="s">
        <v>175</v>
      </c>
      <c r="E170" s="5" t="s">
        <v>16</v>
      </c>
      <c r="F170" s="77">
        <f>'MEMÓRIA CÁLCULO CONVÊNIO'!D162</f>
        <v>2.0999999999999996</v>
      </c>
      <c r="G170" s="78">
        <v>110.94</v>
      </c>
      <c r="H170" s="6">
        <f t="shared" si="60"/>
        <v>137.06</v>
      </c>
      <c r="I170" s="71">
        <f t="shared" si="61"/>
        <v>287.83</v>
      </c>
    </row>
    <row r="171" spans="1:9" ht="15.75" x14ac:dyDescent="0.25">
      <c r="A171" s="133" t="s">
        <v>509</v>
      </c>
      <c r="B171" s="134"/>
      <c r="C171" s="134"/>
      <c r="D171" s="135" t="s">
        <v>170</v>
      </c>
      <c r="E171" s="136"/>
      <c r="F171" s="136"/>
      <c r="G171" s="138"/>
      <c r="H171" s="139"/>
      <c r="I171" s="140">
        <f>I172</f>
        <v>4391.72</v>
      </c>
    </row>
    <row r="172" spans="1:9" ht="53.25" customHeight="1" x14ac:dyDescent="0.25">
      <c r="A172" s="19" t="s">
        <v>510</v>
      </c>
      <c r="B172" s="79" t="s">
        <v>14</v>
      </c>
      <c r="C172" s="79" t="s">
        <v>169</v>
      </c>
      <c r="D172" s="80" t="s">
        <v>168</v>
      </c>
      <c r="E172" s="79" t="s">
        <v>6</v>
      </c>
      <c r="F172" s="86">
        <f>'MEMÓRIA CÁLCULO CONVÊNIO'!D164</f>
        <v>2</v>
      </c>
      <c r="G172" s="10">
        <v>1777.45</v>
      </c>
      <c r="H172" s="6">
        <f t="shared" ref="H172" si="62">ROUND(G172*(1+$B$7),2)</f>
        <v>2195.86</v>
      </c>
      <c r="I172" s="71">
        <f t="shared" ref="I172" si="63">ROUND(H172*F172,2)</f>
        <v>4391.72</v>
      </c>
    </row>
    <row r="173" spans="1:9" ht="24.75" customHeight="1" x14ac:dyDescent="0.25">
      <c r="A173" s="133" t="s">
        <v>511</v>
      </c>
      <c r="B173" s="134"/>
      <c r="C173" s="134"/>
      <c r="D173" s="135" t="s">
        <v>171</v>
      </c>
      <c r="E173" s="136"/>
      <c r="F173" s="136"/>
      <c r="G173" s="138"/>
      <c r="H173" s="139"/>
      <c r="I173" s="140">
        <f>SUM(I174:I181)</f>
        <v>4387.45</v>
      </c>
    </row>
    <row r="174" spans="1:9" ht="15.75" x14ac:dyDescent="0.25">
      <c r="A174" s="19" t="s">
        <v>512</v>
      </c>
      <c r="B174" s="79" t="s">
        <v>0</v>
      </c>
      <c r="C174" s="79">
        <v>93358</v>
      </c>
      <c r="D174" s="80" t="s">
        <v>172</v>
      </c>
      <c r="E174" s="79" t="s">
        <v>15</v>
      </c>
      <c r="F174" s="86">
        <f>'MEMÓRIA CÁLCULO CONVÊNIO'!D166</f>
        <v>2.25</v>
      </c>
      <c r="G174" s="10">
        <v>117.76</v>
      </c>
      <c r="H174" s="6">
        <f t="shared" ref="H174:H181" si="64">ROUND(G174*(1+$B$7),2)</f>
        <v>145.47999999999999</v>
      </c>
      <c r="I174" s="71">
        <f t="shared" ref="I174:I181" si="65">ROUND(H174*F174,2)</f>
        <v>327.33</v>
      </c>
    </row>
    <row r="175" spans="1:9" ht="15.75" x14ac:dyDescent="0.25">
      <c r="A175" s="19" t="s">
        <v>513</v>
      </c>
      <c r="B175" s="79" t="s">
        <v>14</v>
      </c>
      <c r="C175" s="79" t="s">
        <v>174</v>
      </c>
      <c r="D175" s="80" t="s">
        <v>173</v>
      </c>
      <c r="E175" s="79" t="s">
        <v>16</v>
      </c>
      <c r="F175" s="86">
        <f>'MEMÓRIA CÁLCULO CONVÊNIO'!D167</f>
        <v>2.54</v>
      </c>
      <c r="G175" s="10">
        <v>131</v>
      </c>
      <c r="H175" s="6">
        <f t="shared" si="64"/>
        <v>161.84</v>
      </c>
      <c r="I175" s="71">
        <f t="shared" si="65"/>
        <v>411.07</v>
      </c>
    </row>
    <row r="176" spans="1:9" ht="63" x14ac:dyDescent="0.25">
      <c r="A176" s="19" t="s">
        <v>514</v>
      </c>
      <c r="B176" s="79" t="s">
        <v>0</v>
      </c>
      <c r="C176" s="79">
        <v>87893</v>
      </c>
      <c r="D176" s="80" t="s">
        <v>62</v>
      </c>
      <c r="E176" s="79" t="s">
        <v>16</v>
      </c>
      <c r="F176" s="81">
        <f>'MEMÓRIA CÁLCULO CONVÊNIO'!D168</f>
        <v>2.54</v>
      </c>
      <c r="G176" s="10">
        <v>8.5500000000000007</v>
      </c>
      <c r="H176" s="6">
        <f t="shared" si="64"/>
        <v>10.56</v>
      </c>
      <c r="I176" s="71">
        <f t="shared" si="65"/>
        <v>26.82</v>
      </c>
    </row>
    <row r="177" spans="1:9" ht="68.25" customHeight="1" x14ac:dyDescent="0.25">
      <c r="A177" s="19" t="s">
        <v>515</v>
      </c>
      <c r="B177" s="79" t="s">
        <v>0</v>
      </c>
      <c r="C177" s="79">
        <v>87792</v>
      </c>
      <c r="D177" s="80" t="s">
        <v>63</v>
      </c>
      <c r="E177" s="79" t="s">
        <v>16</v>
      </c>
      <c r="F177" s="81">
        <f>'MEMÓRIA CÁLCULO CONVÊNIO'!D169</f>
        <v>2.54</v>
      </c>
      <c r="G177" s="10">
        <v>43.25</v>
      </c>
      <c r="H177" s="6">
        <f t="shared" si="64"/>
        <v>53.43</v>
      </c>
      <c r="I177" s="71">
        <f t="shared" si="65"/>
        <v>135.71</v>
      </c>
    </row>
    <row r="178" spans="1:9" ht="38.25" customHeight="1" x14ac:dyDescent="0.25">
      <c r="A178" s="19" t="s">
        <v>516</v>
      </c>
      <c r="B178" s="5" t="s">
        <v>14</v>
      </c>
      <c r="C178" s="5" t="s">
        <v>176</v>
      </c>
      <c r="D178" s="20" t="s">
        <v>175</v>
      </c>
      <c r="E178" s="5" t="s">
        <v>16</v>
      </c>
      <c r="F178" s="77">
        <f>'MEMÓRIA CÁLCULO CONVÊNIO'!D170</f>
        <v>1.4</v>
      </c>
      <c r="G178" s="78">
        <v>110.94</v>
      </c>
      <c r="H178" s="6">
        <f t="shared" si="64"/>
        <v>137.06</v>
      </c>
      <c r="I178" s="71">
        <f t="shared" si="65"/>
        <v>191.88</v>
      </c>
    </row>
    <row r="179" spans="1:9" ht="78.75" x14ac:dyDescent="0.25">
      <c r="A179" s="19" t="s">
        <v>517</v>
      </c>
      <c r="B179" s="5" t="s">
        <v>0</v>
      </c>
      <c r="C179" s="5">
        <v>93396</v>
      </c>
      <c r="D179" s="20" t="s">
        <v>177</v>
      </c>
      <c r="E179" s="5" t="s">
        <v>6</v>
      </c>
      <c r="F179" s="77">
        <f>'MEMÓRIA CÁLCULO CONVÊNIO'!D171</f>
        <v>1</v>
      </c>
      <c r="G179" s="78">
        <v>707.85</v>
      </c>
      <c r="H179" s="6">
        <f t="shared" si="64"/>
        <v>874.48</v>
      </c>
      <c r="I179" s="71">
        <f t="shared" si="65"/>
        <v>874.48</v>
      </c>
    </row>
    <row r="180" spans="1:9" ht="47.25" x14ac:dyDescent="0.25">
      <c r="A180" s="19" t="s">
        <v>518</v>
      </c>
      <c r="B180" s="5" t="s">
        <v>0</v>
      </c>
      <c r="C180" s="5">
        <v>97947</v>
      </c>
      <c r="D180" s="20" t="s">
        <v>178</v>
      </c>
      <c r="E180" s="5" t="s">
        <v>6</v>
      </c>
      <c r="F180" s="77">
        <f>'MEMÓRIA CÁLCULO CONVÊNIO'!D172</f>
        <v>1</v>
      </c>
      <c r="G180" s="78">
        <v>1910.31</v>
      </c>
      <c r="H180" s="6">
        <f t="shared" si="64"/>
        <v>2360</v>
      </c>
      <c r="I180" s="71">
        <f t="shared" si="65"/>
        <v>2360</v>
      </c>
    </row>
    <row r="181" spans="1:9" ht="31.5" x14ac:dyDescent="0.25">
      <c r="A181" s="19" t="s">
        <v>519</v>
      </c>
      <c r="B181" s="5" t="s">
        <v>0</v>
      </c>
      <c r="C181" s="5">
        <v>86913</v>
      </c>
      <c r="D181" s="20" t="s">
        <v>179</v>
      </c>
      <c r="E181" s="5" t="s">
        <v>6</v>
      </c>
      <c r="F181" s="77">
        <f>'MEMÓRIA CÁLCULO CONVÊNIO'!D173</f>
        <v>1</v>
      </c>
      <c r="G181" s="78">
        <v>48.7</v>
      </c>
      <c r="H181" s="6">
        <f t="shared" si="64"/>
        <v>60.16</v>
      </c>
      <c r="I181" s="71">
        <f t="shared" si="65"/>
        <v>60.16</v>
      </c>
    </row>
    <row r="182" spans="1:9" ht="31.5" customHeight="1" x14ac:dyDescent="0.25">
      <c r="A182" s="35" t="s">
        <v>520</v>
      </c>
      <c r="B182" s="40"/>
      <c r="C182" s="40"/>
      <c r="D182" s="41" t="s">
        <v>48</v>
      </c>
      <c r="E182" s="36"/>
      <c r="F182" s="36"/>
      <c r="G182" s="39"/>
      <c r="H182" s="39"/>
      <c r="I182" s="44">
        <f>I183+I193+I196</f>
        <v>97927.810000000012</v>
      </c>
    </row>
    <row r="183" spans="1:9" ht="24" customHeight="1" x14ac:dyDescent="0.25">
      <c r="A183" s="133" t="s">
        <v>521</v>
      </c>
      <c r="B183" s="134"/>
      <c r="C183" s="134"/>
      <c r="D183" s="135" t="s">
        <v>24</v>
      </c>
      <c r="E183" s="136"/>
      <c r="F183" s="136"/>
      <c r="G183" s="138"/>
      <c r="H183" s="139"/>
      <c r="I183" s="140">
        <f>SUM(I184:I192)</f>
        <v>58314.460000000006</v>
      </c>
    </row>
    <row r="184" spans="1:9" ht="15.75" x14ac:dyDescent="0.25">
      <c r="A184" s="19" t="s">
        <v>522</v>
      </c>
      <c r="B184" s="5" t="s">
        <v>14</v>
      </c>
      <c r="C184" s="5" t="s">
        <v>239</v>
      </c>
      <c r="D184" s="20" t="s">
        <v>238</v>
      </c>
      <c r="E184" s="5" t="s">
        <v>240</v>
      </c>
      <c r="F184" s="8">
        <f>'MEMÓRIA CÁLCULO CONVÊNIO'!D176</f>
        <v>7167.9</v>
      </c>
      <c r="G184" s="10">
        <v>4.37</v>
      </c>
      <c r="H184" s="6">
        <f t="shared" ref="H184:H192" si="66">ROUND(G184*(1+$B$7),2)</f>
        <v>5.4</v>
      </c>
      <c r="I184" s="71">
        <f t="shared" ref="I184:I192" si="67">ROUND(H184*F184,2)</f>
        <v>38706.660000000003</v>
      </c>
    </row>
    <row r="185" spans="1:9" ht="78.75" x14ac:dyDescent="0.25">
      <c r="A185" s="19" t="s">
        <v>523</v>
      </c>
      <c r="B185" s="5" t="s">
        <v>597</v>
      </c>
      <c r="C185" s="5">
        <v>10527</v>
      </c>
      <c r="D185" s="20" t="s">
        <v>43</v>
      </c>
      <c r="E185" s="5" t="s">
        <v>54</v>
      </c>
      <c r="F185" s="8">
        <f>'MEMÓRIA CÁLCULO CONVÊNIO'!D177</f>
        <v>18</v>
      </c>
      <c r="G185" s="10">
        <v>29</v>
      </c>
      <c r="H185" s="6">
        <f t="shared" si="66"/>
        <v>35.83</v>
      </c>
      <c r="I185" s="71">
        <f t="shared" si="67"/>
        <v>644.94000000000005</v>
      </c>
    </row>
    <row r="186" spans="1:9" ht="63" x14ac:dyDescent="0.25">
      <c r="A186" s="19" t="s">
        <v>524</v>
      </c>
      <c r="B186" s="5" t="s">
        <v>0</v>
      </c>
      <c r="C186" s="5">
        <v>100758</v>
      </c>
      <c r="D186" s="20" t="s">
        <v>328</v>
      </c>
      <c r="E186" s="5" t="s">
        <v>16</v>
      </c>
      <c r="F186" s="8">
        <f>'MEMÓRIA CÁLCULO CONVÊNIO'!D178</f>
        <v>83.88</v>
      </c>
      <c r="G186" s="10">
        <v>62.53</v>
      </c>
      <c r="H186" s="6">
        <f t="shared" si="66"/>
        <v>77.25</v>
      </c>
      <c r="I186" s="71">
        <f t="shared" si="67"/>
        <v>6479.73</v>
      </c>
    </row>
    <row r="187" spans="1:9" ht="31.5" x14ac:dyDescent="0.25">
      <c r="A187" s="19" t="s">
        <v>586</v>
      </c>
      <c r="B187" s="5" t="s">
        <v>0</v>
      </c>
      <c r="C187" s="5">
        <v>88489</v>
      </c>
      <c r="D187" s="20" t="s">
        <v>404</v>
      </c>
      <c r="E187" s="5" t="s">
        <v>16</v>
      </c>
      <c r="F187" s="8">
        <f>'MEMÓRIA CÁLCULO CONVÊNIO'!D179</f>
        <v>112.375</v>
      </c>
      <c r="G187" s="10">
        <v>14.77</v>
      </c>
      <c r="H187" s="6">
        <f t="shared" si="66"/>
        <v>18.25</v>
      </c>
      <c r="I187" s="71">
        <f t="shared" si="67"/>
        <v>2050.84</v>
      </c>
    </row>
    <row r="188" spans="1:9" ht="47.25" x14ac:dyDescent="0.25">
      <c r="A188" s="19" t="s">
        <v>587</v>
      </c>
      <c r="B188" s="5" t="s">
        <v>0</v>
      </c>
      <c r="C188" s="5">
        <v>95622</v>
      </c>
      <c r="D188" s="20" t="s">
        <v>691</v>
      </c>
      <c r="E188" s="5" t="s">
        <v>16</v>
      </c>
      <c r="F188" s="8">
        <f>'MEMÓRIA CÁLCULO CONVÊNIO'!D180</f>
        <v>131.65</v>
      </c>
      <c r="G188" s="10">
        <v>17.28</v>
      </c>
      <c r="H188" s="6">
        <f t="shared" si="66"/>
        <v>21.35</v>
      </c>
      <c r="I188" s="71">
        <f t="shared" si="67"/>
        <v>2810.73</v>
      </c>
    </row>
    <row r="189" spans="1:9" ht="31.5" x14ac:dyDescent="0.25">
      <c r="A189" s="19" t="s">
        <v>588</v>
      </c>
      <c r="B189" s="5" t="s">
        <v>0</v>
      </c>
      <c r="C189" s="5">
        <v>88489</v>
      </c>
      <c r="D189" s="20" t="s">
        <v>571</v>
      </c>
      <c r="E189" s="5" t="s">
        <v>16</v>
      </c>
      <c r="F189" s="8">
        <f>'MEMÓRIA CÁLCULO CONVÊNIO'!D181</f>
        <v>166.19400000000002</v>
      </c>
      <c r="G189" s="10">
        <v>14.77</v>
      </c>
      <c r="H189" s="6">
        <f t="shared" si="66"/>
        <v>18.25</v>
      </c>
      <c r="I189" s="71">
        <f t="shared" si="67"/>
        <v>3033.04</v>
      </c>
    </row>
    <row r="190" spans="1:9" ht="31.5" x14ac:dyDescent="0.25">
      <c r="A190" s="19" t="s">
        <v>589</v>
      </c>
      <c r="B190" s="5" t="s">
        <v>0</v>
      </c>
      <c r="C190" s="5">
        <v>88489</v>
      </c>
      <c r="D190" s="20" t="s">
        <v>405</v>
      </c>
      <c r="E190" s="5" t="s">
        <v>16</v>
      </c>
      <c r="F190" s="8">
        <f>'MEMÓRIA CÁLCULO CONVÊNIO'!D182</f>
        <v>139.13</v>
      </c>
      <c r="G190" s="10">
        <v>14.77</v>
      </c>
      <c r="H190" s="6">
        <f t="shared" si="66"/>
        <v>18.25</v>
      </c>
      <c r="I190" s="71">
        <f t="shared" si="67"/>
        <v>2539.12</v>
      </c>
    </row>
    <row r="191" spans="1:9" ht="31.5" x14ac:dyDescent="0.25">
      <c r="A191" s="130" t="s">
        <v>590</v>
      </c>
      <c r="B191" s="5" t="s">
        <v>0</v>
      </c>
      <c r="C191" s="5">
        <v>102219</v>
      </c>
      <c r="D191" s="20" t="s">
        <v>245</v>
      </c>
      <c r="E191" s="5" t="s">
        <v>16</v>
      </c>
      <c r="F191" s="8">
        <f>'MEMÓRIA CÁLCULO CONVÊNIO'!D183</f>
        <v>20.7</v>
      </c>
      <c r="G191" s="10">
        <v>20.93</v>
      </c>
      <c r="H191" s="6">
        <f t="shared" si="66"/>
        <v>25.86</v>
      </c>
      <c r="I191" s="71">
        <f t="shared" si="67"/>
        <v>535.29999999999995</v>
      </c>
    </row>
    <row r="192" spans="1:9" ht="63" x14ac:dyDescent="0.25">
      <c r="A192" s="130" t="s">
        <v>591</v>
      </c>
      <c r="B192" s="5" t="s">
        <v>0</v>
      </c>
      <c r="C192" s="5">
        <v>100758</v>
      </c>
      <c r="D192" s="20" t="s">
        <v>328</v>
      </c>
      <c r="E192" s="5" t="s">
        <v>16</v>
      </c>
      <c r="F192" s="8">
        <f>'MEMÓRIA CÁLCULO CONVÊNIO'!D184</f>
        <v>19.600000000000001</v>
      </c>
      <c r="G192" s="10">
        <v>62.53</v>
      </c>
      <c r="H192" s="6">
        <f t="shared" si="66"/>
        <v>77.25</v>
      </c>
      <c r="I192" s="71">
        <f t="shared" si="67"/>
        <v>1514.1</v>
      </c>
    </row>
    <row r="193" spans="1:9" ht="21.75" customHeight="1" x14ac:dyDescent="0.25">
      <c r="A193" s="133" t="s">
        <v>592</v>
      </c>
      <c r="B193" s="134"/>
      <c r="C193" s="134"/>
      <c r="D193" s="135" t="s">
        <v>566</v>
      </c>
      <c r="E193" s="136"/>
      <c r="F193" s="136"/>
      <c r="G193" s="138"/>
      <c r="H193" s="139"/>
      <c r="I193" s="140">
        <f>SUM(I194:I195)</f>
        <v>27273.8</v>
      </c>
    </row>
    <row r="194" spans="1:9" ht="31.5" x14ac:dyDescent="0.25">
      <c r="A194" s="19" t="s">
        <v>599</v>
      </c>
      <c r="B194" s="5" t="s">
        <v>14</v>
      </c>
      <c r="C194" s="5" t="s">
        <v>570</v>
      </c>
      <c r="D194" s="20" t="s">
        <v>569</v>
      </c>
      <c r="E194" s="5" t="s">
        <v>16</v>
      </c>
      <c r="F194" s="122">
        <f>'MEMÓRIA CÁLCULO CONVÊNIO'!D186</f>
        <v>340.88</v>
      </c>
      <c r="G194" s="78">
        <v>34.979999999999997</v>
      </c>
      <c r="H194" s="6">
        <f t="shared" ref="H194:H195" si="68">ROUND(G194*(1+$B$7),2)</f>
        <v>43.21</v>
      </c>
      <c r="I194" s="71">
        <f t="shared" ref="I194:I195" si="69">ROUND(H194*F194,2)</f>
        <v>14729.42</v>
      </c>
    </row>
    <row r="195" spans="1:9" ht="31.5" x14ac:dyDescent="0.25">
      <c r="A195" s="19" t="s">
        <v>600</v>
      </c>
      <c r="B195" s="30" t="s">
        <v>0</v>
      </c>
      <c r="C195" s="28">
        <v>102492</v>
      </c>
      <c r="D195" s="31" t="s">
        <v>36</v>
      </c>
      <c r="E195" s="28" t="s">
        <v>16</v>
      </c>
      <c r="F195" s="34">
        <f>'MEMÓRIA CÁLCULO CONVÊNIO'!D187</f>
        <v>340.88</v>
      </c>
      <c r="G195" s="10">
        <v>29.79</v>
      </c>
      <c r="H195" s="6">
        <f t="shared" si="68"/>
        <v>36.799999999999997</v>
      </c>
      <c r="I195" s="71">
        <f t="shared" si="69"/>
        <v>12544.38</v>
      </c>
    </row>
    <row r="196" spans="1:9" ht="15.75" x14ac:dyDescent="0.25">
      <c r="A196" s="133" t="s">
        <v>649</v>
      </c>
      <c r="B196" s="134"/>
      <c r="C196" s="134"/>
      <c r="D196" s="135" t="s">
        <v>601</v>
      </c>
      <c r="E196" s="136"/>
      <c r="F196" s="136"/>
      <c r="G196" s="138"/>
      <c r="H196" s="139"/>
      <c r="I196" s="140">
        <f>SUM(I197:I213)</f>
        <v>12339.55</v>
      </c>
    </row>
    <row r="197" spans="1:9" ht="15.75" x14ac:dyDescent="0.25">
      <c r="A197" s="19" t="s">
        <v>650</v>
      </c>
      <c r="B197" s="79" t="s">
        <v>14</v>
      </c>
      <c r="C197" s="5" t="s">
        <v>207</v>
      </c>
      <c r="D197" s="20" t="s">
        <v>206</v>
      </c>
      <c r="E197" s="5" t="s">
        <v>16</v>
      </c>
      <c r="F197" s="8">
        <f>'MEMÓRIA CÁLCULO CONVÊNIO'!D189</f>
        <v>10.36</v>
      </c>
      <c r="G197" s="10">
        <v>12.86</v>
      </c>
      <c r="H197" s="6">
        <f t="shared" ref="H197:H213" si="70">ROUND(G197*(1+$B$7),2)</f>
        <v>15.89</v>
      </c>
      <c r="I197" s="71">
        <f t="shared" ref="I197:I213" si="71">ROUND(H197*F197,2)</f>
        <v>164.62</v>
      </c>
    </row>
    <row r="198" spans="1:9" ht="15.75" x14ac:dyDescent="0.25">
      <c r="A198" s="19" t="s">
        <v>651</v>
      </c>
      <c r="B198" s="79" t="s">
        <v>14</v>
      </c>
      <c r="C198" s="5" t="s">
        <v>209</v>
      </c>
      <c r="D198" s="20" t="s">
        <v>208</v>
      </c>
      <c r="E198" s="5" t="s">
        <v>6</v>
      </c>
      <c r="F198" s="8">
        <f>'MEMÓRIA CÁLCULO CONVÊNIO'!D190</f>
        <v>4</v>
      </c>
      <c r="G198" s="10">
        <v>46.86</v>
      </c>
      <c r="H198" s="6">
        <f t="shared" si="70"/>
        <v>57.89</v>
      </c>
      <c r="I198" s="71">
        <f t="shared" si="71"/>
        <v>231.56</v>
      </c>
    </row>
    <row r="199" spans="1:9" ht="15.75" x14ac:dyDescent="0.25">
      <c r="A199" s="19" t="s">
        <v>652</v>
      </c>
      <c r="B199" s="79" t="s">
        <v>14</v>
      </c>
      <c r="C199" s="5" t="s">
        <v>211</v>
      </c>
      <c r="D199" s="20" t="s">
        <v>210</v>
      </c>
      <c r="E199" s="5" t="s">
        <v>6</v>
      </c>
      <c r="F199" s="8">
        <f>'MEMÓRIA CÁLCULO CONVÊNIO'!D191</f>
        <v>4</v>
      </c>
      <c r="G199" s="10">
        <v>59.91</v>
      </c>
      <c r="H199" s="6">
        <f t="shared" si="70"/>
        <v>74.010000000000005</v>
      </c>
      <c r="I199" s="71">
        <f t="shared" si="71"/>
        <v>296.04000000000002</v>
      </c>
    </row>
    <row r="200" spans="1:9" ht="63" x14ac:dyDescent="0.25">
      <c r="A200" s="19" t="s">
        <v>653</v>
      </c>
      <c r="B200" s="79" t="s">
        <v>0</v>
      </c>
      <c r="C200" s="79">
        <v>100981</v>
      </c>
      <c r="D200" s="80" t="s">
        <v>249</v>
      </c>
      <c r="E200" s="79" t="s">
        <v>15</v>
      </c>
      <c r="F200" s="81">
        <f>'MEMÓRIA CÁLCULO CONVÊNIO'!D192</f>
        <v>1.718</v>
      </c>
      <c r="G200" s="10">
        <v>10.18</v>
      </c>
      <c r="H200" s="6">
        <f t="shared" si="70"/>
        <v>12.58</v>
      </c>
      <c r="I200" s="71">
        <f t="shared" si="71"/>
        <v>21.61</v>
      </c>
    </row>
    <row r="201" spans="1:9" ht="47.25" x14ac:dyDescent="0.25">
      <c r="A201" s="19" t="s">
        <v>654</v>
      </c>
      <c r="B201" s="5" t="s">
        <v>0</v>
      </c>
      <c r="C201" s="5">
        <v>87263</v>
      </c>
      <c r="D201" s="20" t="s">
        <v>213</v>
      </c>
      <c r="E201" s="5" t="s">
        <v>16</v>
      </c>
      <c r="F201" s="8">
        <f>'MEMÓRIA CÁLCULO CONVÊNIO'!D193</f>
        <v>10.36</v>
      </c>
      <c r="G201" s="10">
        <v>107.33</v>
      </c>
      <c r="H201" s="6">
        <f t="shared" si="70"/>
        <v>132.6</v>
      </c>
      <c r="I201" s="71">
        <f t="shared" si="71"/>
        <v>1373.74</v>
      </c>
    </row>
    <row r="202" spans="1:9" ht="50.25" customHeight="1" x14ac:dyDescent="0.25">
      <c r="A202" s="19" t="s">
        <v>655</v>
      </c>
      <c r="B202" s="5" t="s">
        <v>0</v>
      </c>
      <c r="C202" s="5">
        <v>95470</v>
      </c>
      <c r="D202" s="20" t="s">
        <v>212</v>
      </c>
      <c r="E202" s="5" t="s">
        <v>6</v>
      </c>
      <c r="F202" s="77">
        <f>'MEMÓRIA CÁLCULO CONVÊNIO'!D194</f>
        <v>2</v>
      </c>
      <c r="G202" s="78">
        <v>308.2</v>
      </c>
      <c r="H202" s="6">
        <f t="shared" si="70"/>
        <v>380.75</v>
      </c>
      <c r="I202" s="71">
        <f t="shared" si="71"/>
        <v>761.5</v>
      </c>
    </row>
    <row r="203" spans="1:9" ht="69.75" customHeight="1" x14ac:dyDescent="0.25">
      <c r="A203" s="19" t="s">
        <v>656</v>
      </c>
      <c r="B203" s="5" t="s">
        <v>0</v>
      </c>
      <c r="C203" s="5">
        <v>86939</v>
      </c>
      <c r="D203" s="20" t="s">
        <v>398</v>
      </c>
      <c r="E203" s="5" t="s">
        <v>6</v>
      </c>
      <c r="F203" s="77">
        <f>'MEMÓRIA CÁLCULO CONVÊNIO'!D195</f>
        <v>1</v>
      </c>
      <c r="G203" s="78">
        <v>429.49</v>
      </c>
      <c r="H203" s="6">
        <f t="shared" si="70"/>
        <v>530.59</v>
      </c>
      <c r="I203" s="71">
        <f t="shared" si="71"/>
        <v>530.59</v>
      </c>
    </row>
    <row r="204" spans="1:9" ht="47.25" x14ac:dyDescent="0.25">
      <c r="A204" s="19" t="s">
        <v>657</v>
      </c>
      <c r="B204" s="5" t="s">
        <v>0</v>
      </c>
      <c r="C204" s="5">
        <v>102258</v>
      </c>
      <c r="D204" s="20" t="s">
        <v>220</v>
      </c>
      <c r="E204" s="5" t="s">
        <v>16</v>
      </c>
      <c r="F204" s="77">
        <f>'MEMÓRIA CÁLCULO CONVÊNIO'!D196</f>
        <v>0.75</v>
      </c>
      <c r="G204" s="78">
        <v>413.76</v>
      </c>
      <c r="H204" s="6">
        <f t="shared" si="70"/>
        <v>511.16</v>
      </c>
      <c r="I204" s="71">
        <f t="shared" si="71"/>
        <v>383.37</v>
      </c>
    </row>
    <row r="205" spans="1:9" ht="54" customHeight="1" x14ac:dyDescent="0.25">
      <c r="A205" s="19" t="s">
        <v>658</v>
      </c>
      <c r="B205" s="5" t="s">
        <v>0</v>
      </c>
      <c r="C205" s="5">
        <v>104328</v>
      </c>
      <c r="D205" s="20" t="s">
        <v>214</v>
      </c>
      <c r="E205" s="5" t="s">
        <v>6</v>
      </c>
      <c r="F205" s="77">
        <f>'MEMÓRIA CÁLCULO CONVÊNIO'!D197</f>
        <v>1</v>
      </c>
      <c r="G205" s="78">
        <v>77.19</v>
      </c>
      <c r="H205" s="6">
        <f t="shared" si="70"/>
        <v>95.36</v>
      </c>
      <c r="I205" s="71">
        <f t="shared" si="71"/>
        <v>95.36</v>
      </c>
    </row>
    <row r="206" spans="1:9" ht="15.75" x14ac:dyDescent="0.25">
      <c r="A206" s="19" t="s">
        <v>659</v>
      </c>
      <c r="B206" s="79" t="s">
        <v>14</v>
      </c>
      <c r="C206" s="5" t="s">
        <v>216</v>
      </c>
      <c r="D206" s="20" t="s">
        <v>215</v>
      </c>
      <c r="E206" s="5" t="s">
        <v>6</v>
      </c>
      <c r="F206" s="77">
        <f>'MEMÓRIA CÁLCULO CONVÊNIO'!D198</f>
        <v>2</v>
      </c>
      <c r="G206" s="78">
        <v>529.97</v>
      </c>
      <c r="H206" s="6">
        <f t="shared" si="70"/>
        <v>654.72</v>
      </c>
      <c r="I206" s="71">
        <f t="shared" si="71"/>
        <v>1309.44</v>
      </c>
    </row>
    <row r="207" spans="1:9" ht="47.25" x14ac:dyDescent="0.25">
      <c r="A207" s="19" t="s">
        <v>660</v>
      </c>
      <c r="B207" s="5" t="s">
        <v>0</v>
      </c>
      <c r="C207" s="5">
        <v>94794</v>
      </c>
      <c r="D207" s="20" t="s">
        <v>218</v>
      </c>
      <c r="E207" s="5" t="s">
        <v>6</v>
      </c>
      <c r="F207" s="77">
        <f>'MEMÓRIA CÁLCULO CONVÊNIO'!D199</f>
        <v>1</v>
      </c>
      <c r="G207" s="78">
        <v>133.63999999999999</v>
      </c>
      <c r="H207" s="6">
        <f t="shared" si="70"/>
        <v>165.1</v>
      </c>
      <c r="I207" s="71">
        <f t="shared" si="71"/>
        <v>165.1</v>
      </c>
    </row>
    <row r="208" spans="1:9" ht="47.25" x14ac:dyDescent="0.25">
      <c r="A208" s="19" t="s">
        <v>661</v>
      </c>
      <c r="B208" s="5" t="s">
        <v>0</v>
      </c>
      <c r="C208" s="5">
        <v>89984</v>
      </c>
      <c r="D208" s="20" t="s">
        <v>217</v>
      </c>
      <c r="E208" s="5" t="s">
        <v>6</v>
      </c>
      <c r="F208" s="77">
        <f>'MEMÓRIA CÁLCULO CONVÊNIO'!D200</f>
        <v>3</v>
      </c>
      <c r="G208" s="78">
        <v>67.86</v>
      </c>
      <c r="H208" s="6">
        <f t="shared" si="70"/>
        <v>83.83</v>
      </c>
      <c r="I208" s="71">
        <f t="shared" si="71"/>
        <v>251.49</v>
      </c>
    </row>
    <row r="209" spans="1:9" ht="31.5" x14ac:dyDescent="0.25">
      <c r="A209" s="19" t="s">
        <v>662</v>
      </c>
      <c r="B209" s="5" t="s">
        <v>0</v>
      </c>
      <c r="C209" s="5">
        <v>100858</v>
      </c>
      <c r="D209" s="20" t="s">
        <v>221</v>
      </c>
      <c r="E209" s="5" t="s">
        <v>6</v>
      </c>
      <c r="F209" s="77">
        <f>'MEMÓRIA CÁLCULO CONVÊNIO'!D201</f>
        <v>1</v>
      </c>
      <c r="G209" s="78">
        <v>765.65</v>
      </c>
      <c r="H209" s="6">
        <f t="shared" si="70"/>
        <v>945.88</v>
      </c>
      <c r="I209" s="71">
        <f t="shared" si="71"/>
        <v>945.88</v>
      </c>
    </row>
    <row r="210" spans="1:9" ht="15.75" x14ac:dyDescent="0.25">
      <c r="A210" s="19" t="s">
        <v>663</v>
      </c>
      <c r="B210" s="5" t="s">
        <v>14</v>
      </c>
      <c r="C210" s="5" t="s">
        <v>223</v>
      </c>
      <c r="D210" s="20" t="s">
        <v>222</v>
      </c>
      <c r="E210" s="5" t="s">
        <v>6</v>
      </c>
      <c r="F210" s="77">
        <f>'MEMÓRIA CÁLCULO CONVÊNIO'!D202</f>
        <v>1</v>
      </c>
      <c r="G210" s="78">
        <v>584.08000000000004</v>
      </c>
      <c r="H210" s="6">
        <f t="shared" si="70"/>
        <v>721.57</v>
      </c>
      <c r="I210" s="71">
        <f t="shared" si="71"/>
        <v>721.57</v>
      </c>
    </row>
    <row r="211" spans="1:9" ht="15.75" x14ac:dyDescent="0.25">
      <c r="A211" s="19" t="s">
        <v>664</v>
      </c>
      <c r="B211" s="5" t="s">
        <v>14</v>
      </c>
      <c r="C211" s="5" t="s">
        <v>228</v>
      </c>
      <c r="D211" s="20" t="s">
        <v>227</v>
      </c>
      <c r="E211" s="5" t="s">
        <v>6</v>
      </c>
      <c r="F211" s="77">
        <f>'MEMÓRIA CÁLCULO CONVÊNIO'!D203</f>
        <v>2</v>
      </c>
      <c r="G211" s="78">
        <v>1256.3800000000001</v>
      </c>
      <c r="H211" s="6">
        <f t="shared" si="70"/>
        <v>1552.13</v>
      </c>
      <c r="I211" s="71">
        <f t="shared" si="71"/>
        <v>3104.26</v>
      </c>
    </row>
    <row r="212" spans="1:9" ht="15.75" x14ac:dyDescent="0.25">
      <c r="A212" s="19" t="s">
        <v>665</v>
      </c>
      <c r="B212" s="5" t="s">
        <v>14</v>
      </c>
      <c r="C212" s="5" t="s">
        <v>230</v>
      </c>
      <c r="D212" s="20" t="s">
        <v>229</v>
      </c>
      <c r="E212" s="5" t="s">
        <v>6</v>
      </c>
      <c r="F212" s="77">
        <f>'MEMÓRIA CÁLCULO CONVÊNIO'!D204</f>
        <v>2</v>
      </c>
      <c r="G212" s="78">
        <v>305.95999999999998</v>
      </c>
      <c r="H212" s="6">
        <f t="shared" si="70"/>
        <v>377.98</v>
      </c>
      <c r="I212" s="71">
        <f t="shared" si="71"/>
        <v>755.96</v>
      </c>
    </row>
    <row r="213" spans="1:9" ht="47.25" x14ac:dyDescent="0.25">
      <c r="A213" s="19" t="s">
        <v>666</v>
      </c>
      <c r="B213" s="5" t="s">
        <v>14</v>
      </c>
      <c r="C213" s="5" t="s">
        <v>232</v>
      </c>
      <c r="D213" s="20" t="s">
        <v>231</v>
      </c>
      <c r="E213" s="5" t="s">
        <v>159</v>
      </c>
      <c r="F213" s="77">
        <f>'MEMÓRIA CÁLCULO CONVÊNIO'!D205</f>
        <v>2</v>
      </c>
      <c r="G213" s="78">
        <v>496.79</v>
      </c>
      <c r="H213" s="6">
        <f t="shared" si="70"/>
        <v>613.73</v>
      </c>
      <c r="I213" s="71">
        <f t="shared" si="71"/>
        <v>1227.46</v>
      </c>
    </row>
    <row r="214" spans="1:9" ht="33.75" customHeight="1" x14ac:dyDescent="0.25">
      <c r="A214" s="35" t="s">
        <v>525</v>
      </c>
      <c r="B214" s="40"/>
      <c r="C214" s="40"/>
      <c r="D214" s="41" t="s">
        <v>30</v>
      </c>
      <c r="E214" s="36"/>
      <c r="F214" s="36"/>
      <c r="G214" s="39"/>
      <c r="H214" s="39"/>
      <c r="I214" s="44">
        <f>I215+I218+I222</f>
        <v>52243.560000000005</v>
      </c>
    </row>
    <row r="215" spans="1:9" ht="20.25" customHeight="1" x14ac:dyDescent="0.25">
      <c r="A215" s="133" t="s">
        <v>526</v>
      </c>
      <c r="B215" s="134"/>
      <c r="C215" s="134"/>
      <c r="D215" s="135" t="s">
        <v>59</v>
      </c>
      <c r="E215" s="136"/>
      <c r="F215" s="137"/>
      <c r="G215" s="138"/>
      <c r="H215" s="139"/>
      <c r="I215" s="140">
        <f>SUM(I216:I217)</f>
        <v>1042.4100000000001</v>
      </c>
    </row>
    <row r="216" spans="1:9" ht="31.5" x14ac:dyDescent="0.25">
      <c r="A216" s="19" t="s">
        <v>527</v>
      </c>
      <c r="B216" s="79" t="s">
        <v>0</v>
      </c>
      <c r="C216" s="79">
        <v>97631</v>
      </c>
      <c r="D216" s="80" t="s">
        <v>60</v>
      </c>
      <c r="E216" s="79" t="s">
        <v>16</v>
      </c>
      <c r="F216" s="81">
        <f>'MEMÓRIA CÁLCULO CONVÊNIO'!D208</f>
        <v>57.09</v>
      </c>
      <c r="G216" s="10">
        <v>14.27</v>
      </c>
      <c r="H216" s="6">
        <f t="shared" ref="H216:H217" si="72">ROUND(G216*(1+$B$7),2)</f>
        <v>17.63</v>
      </c>
      <c r="I216" s="71">
        <f t="shared" ref="I216:I217" si="73">ROUND(H216*F216,2)</f>
        <v>1006.5</v>
      </c>
    </row>
    <row r="217" spans="1:9" ht="63" x14ac:dyDescent="0.25">
      <c r="A217" s="19" t="s">
        <v>528</v>
      </c>
      <c r="B217" s="79" t="s">
        <v>0</v>
      </c>
      <c r="C217" s="79">
        <v>100981</v>
      </c>
      <c r="D217" s="80" t="s">
        <v>249</v>
      </c>
      <c r="E217" s="79" t="s">
        <v>15</v>
      </c>
      <c r="F217" s="81">
        <f>'MEMÓRIA CÁLCULO CONVÊNIO'!D209</f>
        <v>2.8545000000000003</v>
      </c>
      <c r="G217" s="10">
        <v>10.18</v>
      </c>
      <c r="H217" s="6">
        <f t="shared" si="72"/>
        <v>12.58</v>
      </c>
      <c r="I217" s="71">
        <f t="shared" si="73"/>
        <v>35.909999999999997</v>
      </c>
    </row>
    <row r="218" spans="1:9" ht="21" customHeight="1" x14ac:dyDescent="0.25">
      <c r="A218" s="133" t="s">
        <v>529</v>
      </c>
      <c r="B218" s="134"/>
      <c r="C218" s="134"/>
      <c r="D218" s="135" t="s">
        <v>65</v>
      </c>
      <c r="E218" s="136"/>
      <c r="F218" s="137"/>
      <c r="G218" s="138"/>
      <c r="H218" s="139"/>
      <c r="I218" s="140">
        <f>SUM(I219:I221)</f>
        <v>14231.63</v>
      </c>
    </row>
    <row r="219" spans="1:9" ht="31.5" x14ac:dyDescent="0.25">
      <c r="A219" s="19" t="s">
        <v>530</v>
      </c>
      <c r="B219" s="5" t="s">
        <v>14</v>
      </c>
      <c r="C219" s="5" t="s">
        <v>67</v>
      </c>
      <c r="D219" s="20" t="s">
        <v>66</v>
      </c>
      <c r="E219" s="5" t="s">
        <v>11</v>
      </c>
      <c r="F219" s="8">
        <f>'MEMÓRIA CÁLCULO CONVÊNIO'!D211</f>
        <v>380.6</v>
      </c>
      <c r="G219" s="10">
        <v>11.42</v>
      </c>
      <c r="H219" s="6">
        <f t="shared" ref="H219:H221" si="74">ROUND(G219*(1+$B$7),2)</f>
        <v>14.11</v>
      </c>
      <c r="I219" s="71">
        <f t="shared" ref="I219:I221" si="75">ROUND(H219*F219,2)</f>
        <v>5370.27</v>
      </c>
    </row>
    <row r="220" spans="1:9" ht="31.5" x14ac:dyDescent="0.25">
      <c r="A220" s="19" t="s">
        <v>531</v>
      </c>
      <c r="B220" s="5" t="s">
        <v>0</v>
      </c>
      <c r="C220" s="5">
        <v>88629</v>
      </c>
      <c r="D220" s="20" t="s">
        <v>29</v>
      </c>
      <c r="E220" s="5" t="s">
        <v>15</v>
      </c>
      <c r="F220" s="8">
        <f>'MEMÓRIA CÁLCULO CONVÊNIO'!D212</f>
        <v>3.9963000000000006</v>
      </c>
      <c r="G220" s="10">
        <v>626.17999999999995</v>
      </c>
      <c r="H220" s="6">
        <f t="shared" si="74"/>
        <v>773.58</v>
      </c>
      <c r="I220" s="71">
        <f t="shared" si="75"/>
        <v>3091.46</v>
      </c>
    </row>
    <row r="221" spans="1:9" ht="47.25" x14ac:dyDescent="0.25">
      <c r="A221" s="19" t="s">
        <v>532</v>
      </c>
      <c r="B221" s="5" t="s">
        <v>14</v>
      </c>
      <c r="C221" s="5" t="s">
        <v>72</v>
      </c>
      <c r="D221" s="20" t="s">
        <v>71</v>
      </c>
      <c r="E221" s="5" t="s">
        <v>11</v>
      </c>
      <c r="F221" s="8">
        <f>'MEMÓRIA CÁLCULO CONVÊNIO'!D213</f>
        <v>380.6</v>
      </c>
      <c r="G221" s="10">
        <v>12.27</v>
      </c>
      <c r="H221" s="6">
        <f t="shared" si="74"/>
        <v>15.16</v>
      </c>
      <c r="I221" s="71">
        <f t="shared" si="75"/>
        <v>5769.9</v>
      </c>
    </row>
    <row r="222" spans="1:9" ht="21" customHeight="1" x14ac:dyDescent="0.25">
      <c r="A222" s="133" t="s">
        <v>642</v>
      </c>
      <c r="B222" s="134"/>
      <c r="C222" s="134"/>
      <c r="D222" s="135" t="s">
        <v>34</v>
      </c>
      <c r="E222" s="136"/>
      <c r="F222" s="137"/>
      <c r="G222" s="138"/>
      <c r="H222" s="139"/>
      <c r="I222" s="140">
        <f>SUM(I223:I226)</f>
        <v>36969.520000000004</v>
      </c>
    </row>
    <row r="223" spans="1:9" ht="15.75" x14ac:dyDescent="0.25">
      <c r="A223" s="19" t="s">
        <v>643</v>
      </c>
      <c r="B223" s="5" t="s">
        <v>0</v>
      </c>
      <c r="C223" s="5">
        <v>98397</v>
      </c>
      <c r="D223" s="20" t="s">
        <v>25</v>
      </c>
      <c r="E223" s="5" t="s">
        <v>16</v>
      </c>
      <c r="F223" s="8">
        <f>'MEMÓRIA CÁLCULO CONVÊNIO'!D215</f>
        <v>13.2</v>
      </c>
      <c r="G223" s="10">
        <v>14.58</v>
      </c>
      <c r="H223" s="6">
        <f t="shared" ref="H223:H226" si="76">ROUND(G223*(1+$B$7),2)</f>
        <v>18.010000000000002</v>
      </c>
      <c r="I223" s="71">
        <f t="shared" ref="I223:I226" si="77">ROUND(H223*F223,2)</f>
        <v>237.73</v>
      </c>
    </row>
    <row r="224" spans="1:9" ht="63" x14ac:dyDescent="0.25">
      <c r="A224" s="19" t="s">
        <v>644</v>
      </c>
      <c r="B224" s="5" t="s">
        <v>0</v>
      </c>
      <c r="C224" s="5">
        <v>100761</v>
      </c>
      <c r="D224" s="20" t="s">
        <v>37</v>
      </c>
      <c r="E224" s="5" t="s">
        <v>16</v>
      </c>
      <c r="F224" s="8">
        <f>'MEMÓRIA CÁLCULO CONVÊNIO'!D216</f>
        <v>13.2</v>
      </c>
      <c r="G224" s="10">
        <v>60.71</v>
      </c>
      <c r="H224" s="6">
        <f t="shared" si="76"/>
        <v>75</v>
      </c>
      <c r="I224" s="71">
        <f t="shared" si="77"/>
        <v>990</v>
      </c>
    </row>
    <row r="225" spans="1:12" ht="31.5" x14ac:dyDescent="0.25">
      <c r="A225" s="19" t="s">
        <v>645</v>
      </c>
      <c r="B225" s="30" t="s">
        <v>0</v>
      </c>
      <c r="C225" s="28">
        <v>102492</v>
      </c>
      <c r="D225" s="29" t="s">
        <v>36</v>
      </c>
      <c r="E225" s="28" t="s">
        <v>16</v>
      </c>
      <c r="F225" s="8">
        <f>'MEMÓRIA CÁLCULO CONVÊNIO'!D217</f>
        <v>846.05</v>
      </c>
      <c r="G225" s="10">
        <v>31.14</v>
      </c>
      <c r="H225" s="6">
        <f t="shared" ref="H225" si="78">ROUND(G225*(1+$B$7),2)</f>
        <v>38.47</v>
      </c>
      <c r="I225" s="71">
        <f t="shared" ref="I225" si="79">ROUND(H225*F225,2)</f>
        <v>32547.54</v>
      </c>
    </row>
    <row r="226" spans="1:12" ht="48" thickBot="1" x14ac:dyDescent="0.3">
      <c r="A226" s="198" t="s">
        <v>681</v>
      </c>
      <c r="B226" s="199" t="s">
        <v>0</v>
      </c>
      <c r="C226" s="200">
        <v>95626</v>
      </c>
      <c r="D226" s="201" t="s">
        <v>692</v>
      </c>
      <c r="E226" s="200" t="s">
        <v>16</v>
      </c>
      <c r="F226" s="202">
        <f>'MEMÓRIA CÁLCULO CONVÊNIO'!D218</f>
        <v>140.53</v>
      </c>
      <c r="G226" s="203">
        <v>18.399999999999999</v>
      </c>
      <c r="H226" s="204">
        <f t="shared" si="76"/>
        <v>22.73</v>
      </c>
      <c r="I226" s="205">
        <f t="shared" si="77"/>
        <v>3194.25</v>
      </c>
    </row>
    <row r="227" spans="1:12" ht="36" customHeight="1" thickBot="1" x14ac:dyDescent="0.3">
      <c r="A227" s="25"/>
      <c r="B227" s="26"/>
      <c r="C227" s="26"/>
      <c r="D227" s="26"/>
      <c r="E227" s="27"/>
      <c r="F227" s="117"/>
      <c r="G227" s="262" t="s">
        <v>18</v>
      </c>
      <c r="H227" s="255"/>
      <c r="I227" s="72">
        <f>I214+I182+I161+I154+I138+I94</f>
        <v>542802.32000000007</v>
      </c>
    </row>
    <row r="228" spans="1:12" ht="33" customHeight="1" thickBot="1" x14ac:dyDescent="0.3">
      <c r="A228" s="87"/>
      <c r="B228" s="88"/>
      <c r="C228" s="88"/>
      <c r="D228" s="88"/>
      <c r="E228" s="89"/>
      <c r="F228" s="118"/>
      <c r="G228" s="256" t="s">
        <v>20</v>
      </c>
      <c r="H228" s="257"/>
      <c r="I228" s="32">
        <f>I227+I10</f>
        <v>812459.35000000009</v>
      </c>
    </row>
    <row r="229" spans="1:12" x14ac:dyDescent="0.25">
      <c r="L229" t="s">
        <v>19</v>
      </c>
    </row>
    <row r="230" spans="1:12" x14ac:dyDescent="0.25">
      <c r="G230" s="258"/>
      <c r="H230" s="258"/>
    </row>
    <row r="232" spans="1:12" x14ac:dyDescent="0.25">
      <c r="E232" s="217" t="s">
        <v>678</v>
      </c>
      <c r="F232" s="217"/>
      <c r="G232" s="217"/>
      <c r="H232" s="217"/>
      <c r="I232" s="217"/>
    </row>
    <row r="235" spans="1:12" x14ac:dyDescent="0.25">
      <c r="E235" s="217" t="s">
        <v>243</v>
      </c>
      <c r="F235" s="217"/>
      <c r="G235" s="217"/>
      <c r="H235" s="217"/>
      <c r="I235" s="217"/>
    </row>
    <row r="236" spans="1:12" x14ac:dyDescent="0.25">
      <c r="E236" s="217" t="s">
        <v>236</v>
      </c>
      <c r="F236" s="217"/>
      <c r="G236" s="217"/>
      <c r="H236" s="217"/>
      <c r="I236" s="217"/>
    </row>
    <row r="237" spans="1:12" x14ac:dyDescent="0.25">
      <c r="E237" s="217" t="s">
        <v>244</v>
      </c>
      <c r="F237" s="217"/>
      <c r="G237" s="217"/>
      <c r="H237" s="217"/>
      <c r="I237" s="217"/>
    </row>
    <row r="240" spans="1:12" x14ac:dyDescent="0.25">
      <c r="I240" s="7"/>
    </row>
  </sheetData>
  <mergeCells count="22">
    <mergeCell ref="A10:F10"/>
    <mergeCell ref="A93:F93"/>
    <mergeCell ref="G227:H227"/>
    <mergeCell ref="G92:H92"/>
    <mergeCell ref="E235:I235"/>
    <mergeCell ref="E236:I236"/>
    <mergeCell ref="E237:I237"/>
    <mergeCell ref="E232:I232"/>
    <mergeCell ref="G228:H228"/>
    <mergeCell ref="G230:H230"/>
    <mergeCell ref="G8:I8"/>
    <mergeCell ref="A8:A9"/>
    <mergeCell ref="B8:B9"/>
    <mergeCell ref="C8:C9"/>
    <mergeCell ref="D8:D9"/>
    <mergeCell ref="E8:E9"/>
    <mergeCell ref="F8:F9"/>
    <mergeCell ref="E3:F3"/>
    <mergeCell ref="E4:F4"/>
    <mergeCell ref="E5:F5"/>
    <mergeCell ref="E6:F6"/>
    <mergeCell ref="A1:I2"/>
  </mergeCells>
  <conditionalFormatting sqref="B50:B52">
    <cfRule type="expression" dxfId="162" priority="153">
      <formula>IF($J50="I",TRUE,FALSE)</formula>
    </cfRule>
    <cfRule type="expression" dxfId="161" priority="154">
      <formula>IF($J50="T",TRUE,FALSE)</formula>
    </cfRule>
  </conditionalFormatting>
  <conditionalFormatting sqref="B56">
    <cfRule type="expression" dxfId="160" priority="142">
      <formula>IF($J56="T",TRUE,FALSE)</formula>
    </cfRule>
    <cfRule type="expression" dxfId="159" priority="141">
      <formula>IF($J56="I",TRUE,FALSE)</formula>
    </cfRule>
  </conditionalFormatting>
  <conditionalFormatting sqref="B117:B118">
    <cfRule type="expression" dxfId="158" priority="305">
      <formula>IF($J117="I",TRUE,FALSE)</formula>
    </cfRule>
  </conditionalFormatting>
  <conditionalFormatting sqref="B140:B146 B158 B160">
    <cfRule type="expression" dxfId="157" priority="527">
      <formula>IF($J140="I",TRUE,FALSE)</formula>
    </cfRule>
  </conditionalFormatting>
  <conditionalFormatting sqref="B151">
    <cfRule type="expression" dxfId="156" priority="90">
      <formula>IF($J151="I",TRUE,FALSE)</formula>
    </cfRule>
  </conditionalFormatting>
  <conditionalFormatting sqref="B156">
    <cfRule type="expression" dxfId="155" priority="488">
      <formula>IF($J156="I",TRUE,FALSE)</formula>
    </cfRule>
  </conditionalFormatting>
  <conditionalFormatting sqref="B195">
    <cfRule type="expression" dxfId="154" priority="54">
      <formula>IF($J195="I",TRUE,FALSE)</formula>
    </cfRule>
  </conditionalFormatting>
  <conditionalFormatting sqref="B197:B200">
    <cfRule type="expression" dxfId="153" priority="9">
      <formula>IF($J197="I",TRUE,FALSE)</formula>
    </cfRule>
    <cfRule type="expression" dxfId="152" priority="10">
      <formula>IF($J197="T",TRUE,FALSE)</formula>
    </cfRule>
  </conditionalFormatting>
  <conditionalFormatting sqref="B206">
    <cfRule type="expression" dxfId="151" priority="16">
      <formula>IF($J206="T",TRUE,FALSE)</formula>
    </cfRule>
    <cfRule type="expression" dxfId="150" priority="15">
      <formula>IF($J206="I",TRUE,FALSE)</formula>
    </cfRule>
  </conditionalFormatting>
  <conditionalFormatting sqref="B225:B226">
    <cfRule type="expression" dxfId="149" priority="4">
      <formula>IF($J225="I",TRUE,FALSE)</formula>
    </cfRule>
  </conditionalFormatting>
  <conditionalFormatting sqref="B117:D118">
    <cfRule type="expression" dxfId="148" priority="307">
      <formula>IF($J117="T",TRUE,FALSE)</formula>
    </cfRule>
    <cfRule type="expression" dxfId="147" priority="306">
      <formula>IF($J117="I",TRUE,FALSE)</formula>
    </cfRule>
  </conditionalFormatting>
  <conditionalFormatting sqref="B140:D146 B158 B160:D160 B42:F44 E119:E120 B172:F172">
    <cfRule type="expression" dxfId="146" priority="567">
      <formula>IF($J42="T",TRUE,FALSE)</formula>
    </cfRule>
  </conditionalFormatting>
  <conditionalFormatting sqref="B151:D151">
    <cfRule type="expression" dxfId="145" priority="91">
      <formula>IF($J151="I",TRUE,FALSE)</formula>
    </cfRule>
    <cfRule type="expression" dxfId="144" priority="92">
      <formula>IF($J151="T",TRUE,FALSE)</formula>
    </cfRule>
  </conditionalFormatting>
  <conditionalFormatting sqref="B156:D156">
    <cfRule type="expression" dxfId="143" priority="490">
      <formula>IF($J156="T",TRUE,FALSE)</formula>
    </cfRule>
    <cfRule type="expression" dxfId="142" priority="489">
      <formula>IF($J156="I",TRUE,FALSE)</formula>
    </cfRule>
  </conditionalFormatting>
  <conditionalFormatting sqref="B195:D195">
    <cfRule type="expression" dxfId="141" priority="55">
      <formula>IF($J195="I",TRUE,FALSE)</formula>
    </cfRule>
    <cfRule type="expression" dxfId="140" priority="56">
      <formula>IF($J195="T",TRUE,FALSE)</formula>
    </cfRule>
  </conditionalFormatting>
  <conditionalFormatting sqref="B225:D226">
    <cfRule type="expression" dxfId="139" priority="5">
      <formula>IF($J225="I",TRUE,FALSE)</formula>
    </cfRule>
    <cfRule type="expression" dxfId="138" priority="6">
      <formula>IF($J225="T",TRUE,FALSE)</formula>
    </cfRule>
  </conditionalFormatting>
  <conditionalFormatting sqref="B74:E74">
    <cfRule type="expression" dxfId="137" priority="106">
      <formula>IF($J74="I",TRUE,FALSE)</formula>
    </cfRule>
    <cfRule type="expression" dxfId="136" priority="107">
      <formula>IF($J74="T",TRUE,FALSE)</formula>
    </cfRule>
  </conditionalFormatting>
  <conditionalFormatting sqref="B39:F40">
    <cfRule type="expression" dxfId="135" priority="420">
      <formula>IF($J39="T",TRUE,FALSE)</formula>
    </cfRule>
    <cfRule type="expression" dxfId="134" priority="419">
      <formula>IF($J39="I",TRUE,FALSE)</formula>
    </cfRule>
  </conditionalFormatting>
  <conditionalFormatting sqref="B42:F44 E119:E120 B140:D146 B158 B160:D160 B172:F172">
    <cfRule type="expression" dxfId="133" priority="566">
      <formula>IF($J42="I",TRUE,FALSE)</formula>
    </cfRule>
  </conditionalFormatting>
  <conditionalFormatting sqref="B58:F59">
    <cfRule type="expression" dxfId="132" priority="134">
      <formula>IF($J58="T",TRUE,FALSE)</formula>
    </cfRule>
    <cfRule type="expression" dxfId="131" priority="133">
      <formula>IF($J58="I",TRUE,FALSE)</formula>
    </cfRule>
  </conditionalFormatting>
  <conditionalFormatting sqref="B82:F82">
    <cfRule type="expression" dxfId="130" priority="41">
      <formula>IF($J82="T",TRUE,FALSE)</formula>
    </cfRule>
    <cfRule type="expression" dxfId="129" priority="40">
      <formula>IF($J82="I",TRUE,FALSE)</formula>
    </cfRule>
  </conditionalFormatting>
  <conditionalFormatting sqref="B99:F99">
    <cfRule type="expression" dxfId="128" priority="226">
      <formula>IF($J99="T",TRUE,FALSE)</formula>
    </cfRule>
    <cfRule type="expression" dxfId="127" priority="225">
      <formula>IF($J99="I",TRUE,FALSE)</formula>
    </cfRule>
  </conditionalFormatting>
  <conditionalFormatting sqref="B108:F112">
    <cfRule type="expression" dxfId="126" priority="219">
      <formula>IF($J108="I",TRUE,FALSE)</formula>
    </cfRule>
    <cfRule type="expression" dxfId="125" priority="220">
      <formula>IF($J108="T",TRUE,FALSE)</formula>
    </cfRule>
  </conditionalFormatting>
  <conditionalFormatting sqref="B125:F125">
    <cfRule type="expression" dxfId="124" priority="25">
      <formula>IF($J125="I",TRUE,FALSE)</formula>
    </cfRule>
    <cfRule type="expression" dxfId="123" priority="26">
      <formula>IF($J125="T",TRUE,FALSE)</formula>
    </cfRule>
  </conditionalFormatting>
  <conditionalFormatting sqref="B147:F149">
    <cfRule type="expression" dxfId="122" priority="76">
      <formula>IF($J147="I",TRUE,FALSE)</formula>
    </cfRule>
    <cfRule type="expression" dxfId="121" priority="77">
      <formula>IF($J147="T",TRUE,FALSE)</formula>
    </cfRule>
  </conditionalFormatting>
  <conditionalFormatting sqref="B164:F165">
    <cfRule type="expression" dxfId="120" priority="214">
      <formula>IF($J164="T",TRUE,FALSE)</formula>
    </cfRule>
    <cfRule type="expression" dxfId="119" priority="213">
      <formula>IF($J164="I",TRUE,FALSE)</formula>
    </cfRule>
  </conditionalFormatting>
  <conditionalFormatting sqref="B167:F169">
    <cfRule type="expression" dxfId="118" priority="341">
      <formula>IF($J167="T",TRUE,FALSE)</formula>
    </cfRule>
    <cfRule type="expression" dxfId="117" priority="340">
      <formula>IF($J167="I",TRUE,FALSE)</formula>
    </cfRule>
  </conditionalFormatting>
  <conditionalFormatting sqref="B174:F177">
    <cfRule type="expression" dxfId="116" priority="333">
      <formula>IF($J174="I",TRUE,FALSE)</formula>
    </cfRule>
    <cfRule type="expression" dxfId="115" priority="334">
      <formula>IF($J174="T",TRUE,FALSE)</formula>
    </cfRule>
  </conditionalFormatting>
  <conditionalFormatting sqref="B216:F217">
    <cfRule type="expression" dxfId="114" priority="195">
      <formula>IF($J216="I",TRUE,FALSE)</formula>
    </cfRule>
    <cfRule type="expression" dxfId="113" priority="196">
      <formula>IF($J216="T",TRUE,FALSE)</formula>
    </cfRule>
  </conditionalFormatting>
  <conditionalFormatting sqref="C52:F52">
    <cfRule type="expression" dxfId="112" priority="151">
      <formula>IF($J52="I",TRUE,FALSE)</formula>
    </cfRule>
    <cfRule type="expression" dxfId="111" priority="152">
      <formula>IF($J52="T",TRUE,FALSE)</formula>
    </cfRule>
  </conditionalFormatting>
  <conditionalFormatting sqref="C200:F200">
    <cfRule type="expression" dxfId="110" priority="8">
      <formula>IF($J200="T",TRUE,FALSE)</formula>
    </cfRule>
    <cfRule type="expression" dxfId="109" priority="7">
      <formula>IF($J200="I",TRUE,FALSE)</formula>
    </cfRule>
  </conditionalFormatting>
  <conditionalFormatting sqref="E115">
    <cfRule type="expression" dxfId="108" priority="368">
      <formula>IF($J115="T",TRUE,FALSE)</formula>
    </cfRule>
    <cfRule type="expression" dxfId="107" priority="367">
      <formula>IF($J115="I",TRUE,FALSE)</formula>
    </cfRule>
  </conditionalFormatting>
  <conditionalFormatting sqref="F80:F81">
    <cfRule type="expression" dxfId="106" priority="49" stopIfTrue="1">
      <formula>OR(Nível="Meta",Nível="Nível")</formula>
    </cfRule>
  </conditionalFormatting>
  <conditionalFormatting sqref="F12:G13 F29:G30 G39:G40 G42:G44 F101:G103 F115:G115">
    <cfRule type="expression" dxfId="105" priority="604" stopIfTrue="1">
      <formula>OR(Nível="Meta",Nível="Nível")</formula>
    </cfRule>
  </conditionalFormatting>
  <conditionalFormatting sqref="F15:G19">
    <cfRule type="expression" dxfId="104" priority="179" stopIfTrue="1">
      <formula>OR(Nível="Meta",Nível="Nível")</formula>
    </cfRule>
  </conditionalFormatting>
  <conditionalFormatting sqref="F21:G21 F32:G32">
    <cfRule type="expression" dxfId="103" priority="180" stopIfTrue="1">
      <formula>OR(Nível="Meta",Nível="Nível")</formula>
    </cfRule>
  </conditionalFormatting>
  <conditionalFormatting sqref="F23:G27">
    <cfRule type="expression" dxfId="102" priority="172" stopIfTrue="1">
      <formula>OR(Nível="Meta",Nível="Nível")</formula>
    </cfRule>
  </conditionalFormatting>
  <conditionalFormatting sqref="F34:G34">
    <cfRule type="expression" dxfId="101" priority="2" stopIfTrue="1">
      <formula>OR(Nível="Meta",Nível="Nível")</formula>
    </cfRule>
  </conditionalFormatting>
  <conditionalFormatting sqref="F36:G36">
    <cfRule type="expression" dxfId="100" priority="1" stopIfTrue="1">
      <formula>OR(Nível="Meta",Nível="Nível")</formula>
    </cfRule>
  </conditionalFormatting>
  <conditionalFormatting sqref="F47:G51">
    <cfRule type="expression" dxfId="99" priority="160" stopIfTrue="1">
      <formula>OR(Nível="Meta",Nível="Nível")</formula>
    </cfRule>
  </conditionalFormatting>
  <conditionalFormatting sqref="F54:G56">
    <cfRule type="expression" dxfId="98" priority="150" stopIfTrue="1">
      <formula>OR(Nível="Meta",Nível="Nível")</formula>
    </cfRule>
  </conditionalFormatting>
  <conditionalFormatting sqref="F61:G65">
    <cfRule type="expression" dxfId="97" priority="74" stopIfTrue="1">
      <formula>OR(Nível="Meta",Nível="Nível")</formula>
    </cfRule>
  </conditionalFormatting>
  <conditionalFormatting sqref="F68:G71">
    <cfRule type="expression" dxfId="96" priority="114" stopIfTrue="1">
      <formula>OR(Nível="Meta",Nível="Nível")</formula>
    </cfRule>
  </conditionalFormatting>
  <conditionalFormatting sqref="F73:G75">
    <cfRule type="expression" dxfId="95" priority="112" stopIfTrue="1">
      <formula>OR(Nível="Meta",Nível="Nível")</formula>
    </cfRule>
  </conditionalFormatting>
  <conditionalFormatting sqref="F77:G78">
    <cfRule type="expression" dxfId="94" priority="113" stopIfTrue="1">
      <formula>OR(Nível="Meta",Nível="Nível")</formula>
    </cfRule>
  </conditionalFormatting>
  <conditionalFormatting sqref="F85:G87">
    <cfRule type="expression" dxfId="93" priority="50" stopIfTrue="1">
      <formula>OR(Nível="Meta",Nível="Nível")</formula>
    </cfRule>
  </conditionalFormatting>
  <conditionalFormatting sqref="F89:G91">
    <cfRule type="expression" dxfId="92" priority="47" stopIfTrue="1">
      <formula>OR(Nível="Meta",Nível="Nível")</formula>
    </cfRule>
  </conditionalFormatting>
  <conditionalFormatting sqref="F97:G98">
    <cfRule type="expression" dxfId="91" priority="588" stopIfTrue="1">
      <formula>OR(Nível="Meta",Nível="Nível")</formula>
    </cfRule>
  </conditionalFormatting>
  <conditionalFormatting sqref="F105:G106">
    <cfRule type="expression" dxfId="90" priority="361" stopIfTrue="1">
      <formula>OR(Nível="Meta",Nível="Nível")</formula>
    </cfRule>
  </conditionalFormatting>
  <conditionalFormatting sqref="F117:G121">
    <cfRule type="expression" dxfId="89" priority="286" stopIfTrue="1">
      <formula>OR(Nível="Meta",Nível="Nível")</formula>
    </cfRule>
  </conditionalFormatting>
  <conditionalFormatting sqref="F123:G124">
    <cfRule type="expression" dxfId="88" priority="35" stopIfTrue="1">
      <formula>OR(Nível="Meta",Nível="Nível")</formula>
    </cfRule>
  </conditionalFormatting>
  <conditionalFormatting sqref="F127:G127">
    <cfRule type="expression" dxfId="87" priority="100" stopIfTrue="1">
      <formula>OR(Nível="Meta",Nível="Nível")</formula>
    </cfRule>
  </conditionalFormatting>
  <conditionalFormatting sqref="F129:G129">
    <cfRule type="expression" dxfId="86" priority="99" stopIfTrue="1">
      <formula>OR(Nível="Meta",Nível="Nível")</formula>
    </cfRule>
  </conditionalFormatting>
  <conditionalFormatting sqref="F131:G135">
    <cfRule type="expression" dxfId="85" priority="95" stopIfTrue="1">
      <formula>OR(Nível="Meta",Nível="Nível")</formula>
    </cfRule>
  </conditionalFormatting>
  <conditionalFormatting sqref="F137:G137">
    <cfRule type="expression" dxfId="84" priority="94" stopIfTrue="1">
      <formula>OR(Nível="Meta",Nível="Nível")</formula>
    </cfRule>
  </conditionalFormatting>
  <conditionalFormatting sqref="F140:G146">
    <cfRule type="expression" dxfId="83" priority="93" stopIfTrue="1">
      <formula>OR(Nível="Meta",Nível="Nível")</formula>
    </cfRule>
  </conditionalFormatting>
  <conditionalFormatting sqref="F151:G153">
    <cfRule type="expression" dxfId="82" priority="88" stopIfTrue="1">
      <formula>OR(Nível="Meta",Nível="Nível")</formula>
    </cfRule>
  </conditionalFormatting>
  <conditionalFormatting sqref="F156:G156 F160:G160">
    <cfRule type="expression" dxfId="81" priority="503" stopIfTrue="1">
      <formula>OR(Nível="Meta",Nível="Nível")</formula>
    </cfRule>
  </conditionalFormatting>
  <conditionalFormatting sqref="F158:G158">
    <cfRule type="expression" dxfId="80" priority="374" stopIfTrue="1">
      <formula>OR(Nível="Meta",Nível="Nível")</formula>
    </cfRule>
  </conditionalFormatting>
  <conditionalFormatting sqref="F163:G163 F178:G181">
    <cfRule type="expression" dxfId="79" priority="467" stopIfTrue="1">
      <formula>OR(Nível="Meta",Nível="Nível")</formula>
    </cfRule>
  </conditionalFormatting>
  <conditionalFormatting sqref="F170:G170">
    <cfRule type="expression" dxfId="78" priority="245" stopIfTrue="1">
      <formula>OR(Nível="Meta",Nível="Nível")</formula>
    </cfRule>
  </conditionalFormatting>
  <conditionalFormatting sqref="F184:G192">
    <cfRule type="expression" dxfId="77" priority="24" stopIfTrue="1">
      <formula>OR(Nível="Meta",Nível="Nível")</formula>
    </cfRule>
  </conditionalFormatting>
  <conditionalFormatting sqref="F194:G195">
    <cfRule type="expression" dxfId="76" priority="53" stopIfTrue="1">
      <formula>OR(Nível="Meta",Nível="Nível")</formula>
    </cfRule>
  </conditionalFormatting>
  <conditionalFormatting sqref="F197:G199">
    <cfRule type="expression" dxfId="75" priority="20" stopIfTrue="1">
      <formula>OR(Nível="Meta",Nível="Nível")</formula>
    </cfRule>
  </conditionalFormatting>
  <conditionalFormatting sqref="F201:G213">
    <cfRule type="expression" dxfId="74" priority="13" stopIfTrue="1">
      <formula>OR(Nível="Meta",Nível="Nível")</formula>
    </cfRule>
  </conditionalFormatting>
  <conditionalFormatting sqref="F219:G221">
    <cfRule type="expression" dxfId="73" priority="251" stopIfTrue="1">
      <formula>OR(Nível="Meta",Nível="Nível")</formula>
    </cfRule>
  </conditionalFormatting>
  <conditionalFormatting sqref="F223:G226">
    <cfRule type="expression" dxfId="72" priority="3" stopIfTrue="1">
      <formula>OR(Nível="Meta",Nível="Nível")</formula>
    </cfRule>
  </conditionalFormatting>
  <conditionalFormatting sqref="G52">
    <cfRule type="expression" dxfId="71" priority="157" stopIfTrue="1">
      <formula>OR(Nível="Meta",Nível="Nível")</formula>
    </cfRule>
  </conditionalFormatting>
  <conditionalFormatting sqref="G58:G59">
    <cfRule type="expression" dxfId="70" priority="139" stopIfTrue="1">
      <formula>OR(Nível="Meta",Nível="Nível")</formula>
    </cfRule>
  </conditionalFormatting>
  <conditionalFormatting sqref="G80:G82">
    <cfRule type="expression" dxfId="69" priority="46" stopIfTrue="1">
      <formula>OR(Nível="Meta",Nível="Nível")</formula>
    </cfRule>
  </conditionalFormatting>
  <conditionalFormatting sqref="G99">
    <cfRule type="expression" dxfId="68" priority="407" stopIfTrue="1">
      <formula>OR(Nível="Meta",Nível="Nível")</formula>
    </cfRule>
  </conditionalFormatting>
  <conditionalFormatting sqref="G108:G112">
    <cfRule type="expression" dxfId="67" priority="392" stopIfTrue="1">
      <formula>OR(Nível="Meta",Nível="Nível")</formula>
    </cfRule>
  </conditionalFormatting>
  <conditionalFormatting sqref="G125">
    <cfRule type="expression" dxfId="66" priority="31" stopIfTrue="1">
      <formula>OR(Nível="Meta",Nível="Nível")</formula>
    </cfRule>
  </conditionalFormatting>
  <conditionalFormatting sqref="G147:G149">
    <cfRule type="expression" dxfId="65" priority="82" stopIfTrue="1">
      <formula>OR(Nível="Meta",Nível="Nível")</formula>
    </cfRule>
  </conditionalFormatting>
  <conditionalFormatting sqref="G164:G165 G172">
    <cfRule type="expression" dxfId="64" priority="359" stopIfTrue="1">
      <formula>OR(Nível="Meta",Nível="Nível")</formula>
    </cfRule>
  </conditionalFormatting>
  <conditionalFormatting sqref="G167:G169">
    <cfRule type="expression" dxfId="63" priority="350" stopIfTrue="1">
      <formula>OR(Nível="Meta",Nível="Nível")</formula>
    </cfRule>
  </conditionalFormatting>
  <conditionalFormatting sqref="G174:G177">
    <cfRule type="expression" dxfId="62" priority="339" stopIfTrue="1">
      <formula>OR(Nível="Meta",Nível="Nível")</formula>
    </cfRule>
  </conditionalFormatting>
  <conditionalFormatting sqref="G200">
    <cfRule type="expression" dxfId="61" priority="19" stopIfTrue="1">
      <formula>OR(Nível="Meta",Nível="Nível")</formula>
    </cfRule>
  </conditionalFormatting>
  <conditionalFormatting sqref="G216:G217">
    <cfRule type="expression" dxfId="60" priority="265" stopIfTrue="1">
      <formula>OR(Nível="Meta",Nível="Nível")</formula>
    </cfRule>
  </conditionalFormatting>
  <printOptions gridLines="1"/>
  <pageMargins left="0.31496062992125984" right="0.31496062992125984" top="0.39370078740157483" bottom="0.39370078740157483" header="0.31496062992125984" footer="0.31496062992125984"/>
  <pageSetup paperSize="9" scale="60" fitToHeight="8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27"/>
  <sheetViews>
    <sheetView topLeftCell="A217" workbookViewId="0">
      <selection activeCell="A227" sqref="A1:E227"/>
    </sheetView>
  </sheetViews>
  <sheetFormatPr defaultRowHeight="15" x14ac:dyDescent="0.25"/>
  <cols>
    <col min="1" max="1" width="9.140625" style="111"/>
    <col min="2" max="2" width="53.42578125" customWidth="1"/>
    <col min="4" max="4" width="9.140625" style="75"/>
    <col min="5" max="5" width="52.85546875" style="115" customWidth="1"/>
  </cols>
  <sheetData>
    <row r="1" spans="1:7" hidden="1" x14ac:dyDescent="0.25"/>
    <row r="2" spans="1:7" ht="19.5" thickBot="1" x14ac:dyDescent="0.3">
      <c r="A2" s="265" t="s">
        <v>648</v>
      </c>
      <c r="B2" s="265"/>
      <c r="C2" s="265"/>
      <c r="D2" s="265"/>
      <c r="E2" s="265"/>
    </row>
    <row r="3" spans="1:7" ht="33.75" customHeight="1" x14ac:dyDescent="0.25">
      <c r="A3" s="174"/>
      <c r="B3" s="175" t="s">
        <v>646</v>
      </c>
      <c r="C3" s="176"/>
      <c r="D3" s="177"/>
      <c r="E3" s="178"/>
    </row>
    <row r="4" spans="1:7" ht="20.25" customHeight="1" x14ac:dyDescent="0.25">
      <c r="A4" s="142" t="s">
        <v>1</v>
      </c>
      <c r="B4" s="144" t="s">
        <v>23</v>
      </c>
      <c r="C4" s="145"/>
      <c r="D4" s="149"/>
      <c r="E4" s="157"/>
    </row>
    <row r="5" spans="1:7" ht="62.25" customHeight="1" x14ac:dyDescent="0.25">
      <c r="A5" s="19" t="s">
        <v>357</v>
      </c>
      <c r="B5" s="20" t="s">
        <v>248</v>
      </c>
      <c r="C5" s="5" t="s">
        <v>16</v>
      </c>
      <c r="D5" s="62">
        <f>3.6*1.8</f>
        <v>6.48</v>
      </c>
      <c r="E5" s="153" t="s">
        <v>330</v>
      </c>
    </row>
    <row r="6" spans="1:7" ht="21.75" customHeight="1" x14ac:dyDescent="0.25">
      <c r="A6" s="142" t="s">
        <v>97</v>
      </c>
      <c r="B6" s="144" t="s">
        <v>329</v>
      </c>
      <c r="C6" s="145"/>
      <c r="D6" s="149"/>
      <c r="E6" s="157"/>
    </row>
    <row r="7" spans="1:7" ht="24.75" customHeight="1" x14ac:dyDescent="0.25">
      <c r="A7" s="133" t="s">
        <v>358</v>
      </c>
      <c r="B7" s="135" t="s">
        <v>33</v>
      </c>
      <c r="C7" s="145"/>
      <c r="D7" s="149"/>
      <c r="E7" s="157"/>
    </row>
    <row r="8" spans="1:7" ht="57" customHeight="1" x14ac:dyDescent="0.25">
      <c r="A8" s="19" t="s">
        <v>359</v>
      </c>
      <c r="B8" s="20" t="s">
        <v>693</v>
      </c>
      <c r="C8" s="5" t="s">
        <v>16</v>
      </c>
      <c r="D8" s="62">
        <f>' pintura externa Ginásio'!D170</f>
        <v>1273.8025</v>
      </c>
      <c r="E8" s="153" t="s">
        <v>331</v>
      </c>
    </row>
    <row r="9" spans="1:7" ht="61.5" customHeight="1" x14ac:dyDescent="0.25">
      <c r="A9" s="19" t="s">
        <v>360</v>
      </c>
      <c r="B9" s="20" t="s">
        <v>694</v>
      </c>
      <c r="C9" s="5" t="s">
        <v>16</v>
      </c>
      <c r="D9" s="62">
        <f>' pintura externa Ginásio'!D171</f>
        <v>207.1</v>
      </c>
      <c r="E9" s="153" t="s">
        <v>331</v>
      </c>
    </row>
    <row r="10" spans="1:7" ht="58.5" customHeight="1" x14ac:dyDescent="0.25">
      <c r="A10" s="19" t="s">
        <v>361</v>
      </c>
      <c r="B10" s="20" t="s">
        <v>327</v>
      </c>
      <c r="C10" s="5" t="s">
        <v>16</v>
      </c>
      <c r="D10" s="62">
        <f>' pintura externa Ginásio'!M17</f>
        <v>23.800000000000004</v>
      </c>
      <c r="E10" s="153" t="s">
        <v>686</v>
      </c>
      <c r="G10" s="123"/>
    </row>
    <row r="11" spans="1:7" ht="87" customHeight="1" x14ac:dyDescent="0.25">
      <c r="A11" s="19" t="s">
        <v>362</v>
      </c>
      <c r="B11" s="20" t="s">
        <v>328</v>
      </c>
      <c r="C11" s="5" t="s">
        <v>16</v>
      </c>
      <c r="D11" s="62">
        <f>' pintura externa Ginásio'!M18</f>
        <v>102.08000000000001</v>
      </c>
      <c r="E11" s="153" t="s">
        <v>685</v>
      </c>
    </row>
    <row r="12" spans="1:7" ht="40.5" customHeight="1" x14ac:dyDescent="0.25">
      <c r="A12" s="19" t="s">
        <v>363</v>
      </c>
      <c r="B12" s="20" t="s">
        <v>336</v>
      </c>
      <c r="C12" s="5" t="s">
        <v>16</v>
      </c>
      <c r="D12" s="62">
        <f>19.75*0.55*2</f>
        <v>21.725000000000001</v>
      </c>
      <c r="E12" s="153" t="s">
        <v>647</v>
      </c>
    </row>
    <row r="13" spans="1:7" ht="15.75" x14ac:dyDescent="0.25">
      <c r="A13" s="133" t="s">
        <v>364</v>
      </c>
      <c r="B13" s="135" t="s">
        <v>338</v>
      </c>
      <c r="C13" s="145"/>
      <c r="D13" s="149"/>
      <c r="E13" s="157"/>
    </row>
    <row r="14" spans="1:7" ht="75" x14ac:dyDescent="0.25">
      <c r="A14" s="66" t="s">
        <v>183</v>
      </c>
      <c r="B14" s="20" t="s">
        <v>31</v>
      </c>
      <c r="C14" s="113" t="s">
        <v>16</v>
      </c>
      <c r="D14" s="64">
        <f>(30.8*0.4*20)+(0.95*0.4*48)+(0.4*0.2*48)+(0.4*0.2*7)</f>
        <v>269.03999999999996</v>
      </c>
      <c r="E14" s="154" t="s">
        <v>687</v>
      </c>
    </row>
    <row r="15" spans="1:7" ht="15.75" x14ac:dyDescent="0.25">
      <c r="A15" s="142" t="s">
        <v>365</v>
      </c>
      <c r="B15" s="135" t="s">
        <v>339</v>
      </c>
      <c r="C15" s="145"/>
      <c r="D15" s="149"/>
      <c r="E15" s="157"/>
    </row>
    <row r="16" spans="1:7" ht="47.25" x14ac:dyDescent="0.25">
      <c r="A16" s="151" t="s">
        <v>184</v>
      </c>
      <c r="B16" s="20" t="s">
        <v>342</v>
      </c>
      <c r="C16" s="61" t="s">
        <v>16</v>
      </c>
      <c r="D16" s="173">
        <v>298.8</v>
      </c>
      <c r="E16" s="155" t="s">
        <v>341</v>
      </c>
    </row>
    <row r="17" spans="1:5" ht="47.25" x14ac:dyDescent="0.25">
      <c r="A17" s="19" t="s">
        <v>435</v>
      </c>
      <c r="B17" s="20" t="s">
        <v>343</v>
      </c>
      <c r="C17" s="5" t="s">
        <v>16</v>
      </c>
      <c r="D17" s="8">
        <v>360.54</v>
      </c>
      <c r="E17" s="153" t="s">
        <v>341</v>
      </c>
    </row>
    <row r="18" spans="1:5" ht="47.25" x14ac:dyDescent="0.25">
      <c r="A18" s="19" t="s">
        <v>436</v>
      </c>
      <c r="B18" s="20" t="s">
        <v>344</v>
      </c>
      <c r="C18" s="5" t="s">
        <v>16</v>
      </c>
      <c r="D18" s="8">
        <v>12.72</v>
      </c>
      <c r="E18" s="153" t="s">
        <v>341</v>
      </c>
    </row>
    <row r="19" spans="1:5" ht="47.25" x14ac:dyDescent="0.25">
      <c r="A19" s="19" t="s">
        <v>437</v>
      </c>
      <c r="B19" s="20" t="s">
        <v>347</v>
      </c>
      <c r="C19" s="5" t="s">
        <v>16</v>
      </c>
      <c r="D19" s="8">
        <v>138.72</v>
      </c>
      <c r="E19" s="153" t="s">
        <v>341</v>
      </c>
    </row>
    <row r="20" spans="1:5" ht="47.25" x14ac:dyDescent="0.25">
      <c r="A20" s="91" t="s">
        <v>438</v>
      </c>
      <c r="B20" s="20" t="s">
        <v>348</v>
      </c>
      <c r="C20" s="5" t="s">
        <v>16</v>
      </c>
      <c r="D20" s="8">
        <v>52.41</v>
      </c>
      <c r="E20" s="153" t="s">
        <v>341</v>
      </c>
    </row>
    <row r="21" spans="1:5" ht="15.75" x14ac:dyDescent="0.25">
      <c r="A21" s="141" t="s">
        <v>366</v>
      </c>
      <c r="B21" s="135" t="s">
        <v>340</v>
      </c>
      <c r="C21" s="145"/>
      <c r="D21" s="149"/>
      <c r="E21" s="157"/>
    </row>
    <row r="22" spans="1:5" ht="31.5" x14ac:dyDescent="0.25">
      <c r="A22" s="19" t="s">
        <v>367</v>
      </c>
      <c r="B22" s="20" t="s">
        <v>31</v>
      </c>
      <c r="C22" s="5" t="s">
        <v>16</v>
      </c>
      <c r="D22" s="8">
        <v>31.39</v>
      </c>
      <c r="E22" s="153" t="s">
        <v>341</v>
      </c>
    </row>
    <row r="23" spans="1:5" ht="31.5" x14ac:dyDescent="0.25">
      <c r="A23" s="19" t="s">
        <v>368</v>
      </c>
      <c r="B23" s="20" t="s">
        <v>32</v>
      </c>
      <c r="C23" s="113" t="s">
        <v>16</v>
      </c>
      <c r="D23" s="69">
        <v>32</v>
      </c>
      <c r="E23" s="154" t="s">
        <v>341</v>
      </c>
    </row>
    <row r="24" spans="1:5" ht="15.75" x14ac:dyDescent="0.25">
      <c r="A24" s="133" t="s">
        <v>369</v>
      </c>
      <c r="B24" s="135" t="s">
        <v>345</v>
      </c>
      <c r="C24" s="145"/>
      <c r="D24" s="149"/>
      <c r="E24" s="157"/>
    </row>
    <row r="25" spans="1:5" ht="47.25" x14ac:dyDescent="0.25">
      <c r="A25" s="19" t="s">
        <v>370</v>
      </c>
      <c r="B25" s="20" t="s">
        <v>346</v>
      </c>
      <c r="C25" s="61" t="s">
        <v>16</v>
      </c>
      <c r="D25" s="74">
        <f>18.45*30.8</f>
        <v>568.26</v>
      </c>
      <c r="E25" s="155" t="s">
        <v>352</v>
      </c>
    </row>
    <row r="26" spans="1:5" ht="15.75" x14ac:dyDescent="0.25">
      <c r="A26" s="133" t="s">
        <v>371</v>
      </c>
      <c r="B26" s="135" t="s">
        <v>351</v>
      </c>
      <c r="C26" s="145"/>
      <c r="D26" s="149"/>
      <c r="E26" s="157"/>
    </row>
    <row r="27" spans="1:5" ht="31.5" x14ac:dyDescent="0.25">
      <c r="A27" s="19" t="s">
        <v>372</v>
      </c>
      <c r="B27" s="20" t="s">
        <v>690</v>
      </c>
      <c r="C27" s="5" t="s">
        <v>16</v>
      </c>
      <c r="D27" s="62">
        <v>38.28</v>
      </c>
      <c r="E27" s="153" t="s">
        <v>350</v>
      </c>
    </row>
    <row r="28" spans="1:5" ht="15.75" x14ac:dyDescent="0.25">
      <c r="A28" s="133" t="s">
        <v>373</v>
      </c>
      <c r="B28" s="135" t="s">
        <v>47</v>
      </c>
      <c r="C28" s="145"/>
      <c r="D28" s="149"/>
      <c r="E28" s="157"/>
    </row>
    <row r="29" spans="1:5" ht="31.5" x14ac:dyDescent="0.25">
      <c r="A29" s="19" t="s">
        <v>194</v>
      </c>
      <c r="B29" s="20" t="s">
        <v>690</v>
      </c>
      <c r="C29" s="5" t="s">
        <v>16</v>
      </c>
      <c r="D29" s="62">
        <f>4.5*1.2</f>
        <v>5.3999999999999995</v>
      </c>
      <c r="E29" s="153" t="s">
        <v>349</v>
      </c>
    </row>
    <row r="30" spans="1:5" ht="15.75" x14ac:dyDescent="0.25">
      <c r="A30" s="133" t="s">
        <v>374</v>
      </c>
      <c r="B30" s="144" t="s">
        <v>30</v>
      </c>
      <c r="C30" s="145"/>
      <c r="D30" s="149"/>
      <c r="E30" s="157"/>
    </row>
    <row r="31" spans="1:5" ht="15.75" x14ac:dyDescent="0.25">
      <c r="A31" s="141" t="s">
        <v>375</v>
      </c>
      <c r="B31" s="135" t="s">
        <v>59</v>
      </c>
      <c r="C31" s="145"/>
      <c r="D31" s="149"/>
      <c r="E31" s="157"/>
    </row>
    <row r="32" spans="1:5" ht="31.5" x14ac:dyDescent="0.25">
      <c r="A32" s="19" t="s">
        <v>376</v>
      </c>
      <c r="B32" s="80" t="s">
        <v>60</v>
      </c>
      <c r="C32" s="79" t="s">
        <v>16</v>
      </c>
      <c r="D32" s="62">
        <f>140.53-30.32</f>
        <v>110.21000000000001</v>
      </c>
      <c r="E32" s="153" t="s">
        <v>546</v>
      </c>
    </row>
    <row r="33" spans="1:5" ht="78.75" x14ac:dyDescent="0.25">
      <c r="A33" s="19" t="s">
        <v>377</v>
      </c>
      <c r="B33" s="80" t="s">
        <v>249</v>
      </c>
      <c r="C33" s="79" t="s">
        <v>15</v>
      </c>
      <c r="D33" s="62">
        <f>D32*0.05</f>
        <v>5.5105000000000004</v>
      </c>
      <c r="E33" s="153" t="s">
        <v>542</v>
      </c>
    </row>
    <row r="34" spans="1:5" ht="15.75" x14ac:dyDescent="0.25">
      <c r="A34" s="133" t="s">
        <v>378</v>
      </c>
      <c r="B34" s="135" t="s">
        <v>64</v>
      </c>
      <c r="C34" s="145"/>
      <c r="D34" s="149"/>
      <c r="E34" s="157"/>
    </row>
    <row r="35" spans="1:5" ht="47.25" x14ac:dyDescent="0.25">
      <c r="A35" s="19" t="s">
        <v>379</v>
      </c>
      <c r="B35" s="80" t="s">
        <v>61</v>
      </c>
      <c r="C35" s="79" t="s">
        <v>16</v>
      </c>
      <c r="D35" s="62">
        <v>140.53</v>
      </c>
      <c r="E35" s="153" t="s">
        <v>547</v>
      </c>
    </row>
    <row r="36" spans="1:5" ht="63" x14ac:dyDescent="0.25">
      <c r="A36" s="19" t="s">
        <v>380</v>
      </c>
      <c r="B36" s="80" t="s">
        <v>62</v>
      </c>
      <c r="C36" s="79" t="s">
        <v>16</v>
      </c>
      <c r="D36" s="62">
        <f>D35</f>
        <v>140.53</v>
      </c>
      <c r="E36" s="153" t="s">
        <v>547</v>
      </c>
    </row>
    <row r="37" spans="1:5" ht="78.75" x14ac:dyDescent="0.25">
      <c r="A37" s="19" t="s">
        <v>381</v>
      </c>
      <c r="B37" s="80" t="s">
        <v>63</v>
      </c>
      <c r="C37" s="79" t="s">
        <v>16</v>
      </c>
      <c r="D37" s="62">
        <f>D35</f>
        <v>140.53</v>
      </c>
      <c r="E37" s="153" t="s">
        <v>547</v>
      </c>
    </row>
    <row r="38" spans="1:5" ht="15.75" x14ac:dyDescent="0.25">
      <c r="A38" s="142" t="s">
        <v>382</v>
      </c>
      <c r="B38" s="144" t="s">
        <v>48</v>
      </c>
      <c r="C38" s="170"/>
      <c r="D38" s="171"/>
      <c r="E38" s="172"/>
    </row>
    <row r="39" spans="1:5" ht="15.75" x14ac:dyDescent="0.25">
      <c r="A39" s="133" t="s">
        <v>383</v>
      </c>
      <c r="B39" s="135" t="s">
        <v>59</v>
      </c>
      <c r="C39" s="145"/>
      <c r="D39" s="149"/>
      <c r="E39" s="157"/>
    </row>
    <row r="40" spans="1:5" ht="47.25" x14ac:dyDescent="0.25">
      <c r="A40" s="19" t="s">
        <v>384</v>
      </c>
      <c r="B40" s="20" t="s">
        <v>49</v>
      </c>
      <c r="C40" s="5" t="s">
        <v>16</v>
      </c>
      <c r="D40" s="62">
        <f>(32.6*2.8)+(32.3*3.4)+(12.1*2.1)</f>
        <v>226.51</v>
      </c>
      <c r="E40" s="153" t="s">
        <v>551</v>
      </c>
    </row>
    <row r="41" spans="1:5" ht="47.25" x14ac:dyDescent="0.25">
      <c r="A41" s="19" t="s">
        <v>385</v>
      </c>
      <c r="B41" s="20" t="s">
        <v>44</v>
      </c>
      <c r="C41" s="5" t="s">
        <v>15</v>
      </c>
      <c r="D41" s="62">
        <f>(11.56*2*0.15)+(1.55*3.4*0.15)+(3*2.1*0.15)</f>
        <v>5.2035</v>
      </c>
      <c r="E41" s="153" t="s">
        <v>565</v>
      </c>
    </row>
    <row r="42" spans="1:5" ht="47.25" x14ac:dyDescent="0.25">
      <c r="A42" s="19" t="s">
        <v>386</v>
      </c>
      <c r="B42" s="20" t="s">
        <v>549</v>
      </c>
      <c r="C42" s="5" t="s">
        <v>15</v>
      </c>
      <c r="D42" s="62">
        <f>(30.3+8.05)*0.45*0.2</f>
        <v>3.4515000000000002</v>
      </c>
      <c r="E42" s="153" t="s">
        <v>550</v>
      </c>
    </row>
    <row r="43" spans="1:5" ht="78.75" x14ac:dyDescent="0.25">
      <c r="A43" s="19" t="s">
        <v>387</v>
      </c>
      <c r="B43" s="116" t="s">
        <v>225</v>
      </c>
      <c r="C43" s="5" t="s">
        <v>16</v>
      </c>
      <c r="D43" s="62">
        <f>4.97*2.2*4</f>
        <v>43.736000000000004</v>
      </c>
      <c r="E43" s="153" t="s">
        <v>354</v>
      </c>
    </row>
    <row r="44" spans="1:5" ht="63" x14ac:dyDescent="0.25">
      <c r="A44" s="19" t="s">
        <v>548</v>
      </c>
      <c r="B44" s="116" t="s">
        <v>561</v>
      </c>
      <c r="C44" s="5" t="s">
        <v>16</v>
      </c>
      <c r="D44" s="62">
        <v>100.15</v>
      </c>
      <c r="E44" s="153" t="s">
        <v>563</v>
      </c>
    </row>
    <row r="45" spans="1:5" ht="78.75" x14ac:dyDescent="0.25">
      <c r="A45" s="19" t="s">
        <v>562</v>
      </c>
      <c r="B45" s="80" t="s">
        <v>249</v>
      </c>
      <c r="C45" s="79" t="s">
        <v>15</v>
      </c>
      <c r="D45" s="62">
        <f>(D40*0.05)+D41+D42+(D44*0.03)</f>
        <v>22.984999999999999</v>
      </c>
      <c r="E45" s="153" t="s">
        <v>564</v>
      </c>
    </row>
    <row r="46" spans="1:5" ht="15.75" x14ac:dyDescent="0.25">
      <c r="A46" s="133" t="s">
        <v>388</v>
      </c>
      <c r="B46" s="135" t="s">
        <v>355</v>
      </c>
      <c r="C46" s="145"/>
      <c r="D46" s="149"/>
      <c r="E46" s="157"/>
    </row>
    <row r="47" spans="1:5" ht="31.5" x14ac:dyDescent="0.25">
      <c r="A47" s="19" t="s">
        <v>389</v>
      </c>
      <c r="B47" s="20" t="s">
        <v>50</v>
      </c>
      <c r="C47" s="5" t="s">
        <v>16</v>
      </c>
      <c r="D47" s="62">
        <f>4.7*2.5</f>
        <v>11.75</v>
      </c>
      <c r="E47" s="153" t="s">
        <v>552</v>
      </c>
    </row>
    <row r="48" spans="1:5" ht="78.75" x14ac:dyDescent="0.25">
      <c r="A48" s="19" t="s">
        <v>390</v>
      </c>
      <c r="B48" s="20" t="s">
        <v>353</v>
      </c>
      <c r="C48" s="5" t="s">
        <v>16</v>
      </c>
      <c r="D48" s="62">
        <f>26.9*2.9</f>
        <v>78.009999999999991</v>
      </c>
      <c r="E48" s="153" t="s">
        <v>554</v>
      </c>
    </row>
    <row r="49" spans="1:5" ht="69" customHeight="1" x14ac:dyDescent="0.25">
      <c r="A49" s="19" t="s">
        <v>391</v>
      </c>
      <c r="B49" s="20" t="s">
        <v>226</v>
      </c>
      <c r="C49" s="5" t="s">
        <v>16</v>
      </c>
      <c r="D49" s="62">
        <f>(4.97*4*2.2)-16</f>
        <v>27.736000000000004</v>
      </c>
      <c r="E49" s="153" t="s">
        <v>543</v>
      </c>
    </row>
    <row r="50" spans="1:5" ht="15.75" x14ac:dyDescent="0.25">
      <c r="A50" s="133" t="s">
        <v>392</v>
      </c>
      <c r="B50" s="135" t="s">
        <v>356</v>
      </c>
      <c r="C50" s="136"/>
      <c r="D50" s="149"/>
      <c r="E50" s="157"/>
    </row>
    <row r="51" spans="1:5" ht="63" x14ac:dyDescent="0.25">
      <c r="A51" s="19" t="s">
        <v>393</v>
      </c>
      <c r="B51" s="80" t="s">
        <v>62</v>
      </c>
      <c r="C51" s="79" t="s">
        <v>16</v>
      </c>
      <c r="D51" s="62">
        <f>D49*2</f>
        <v>55.472000000000008</v>
      </c>
      <c r="E51" s="153" t="s">
        <v>544</v>
      </c>
    </row>
    <row r="52" spans="1:5" ht="78.75" x14ac:dyDescent="0.25">
      <c r="A52" s="19" t="s">
        <v>394</v>
      </c>
      <c r="B52" s="80" t="s">
        <v>63</v>
      </c>
      <c r="C52" s="79" t="s">
        <v>16</v>
      </c>
      <c r="D52" s="62">
        <f>D49*2</f>
        <v>55.472000000000008</v>
      </c>
      <c r="E52" s="153" t="s">
        <v>544</v>
      </c>
    </row>
    <row r="53" spans="1:5" ht="15.75" x14ac:dyDescent="0.25">
      <c r="A53" s="133" t="s">
        <v>395</v>
      </c>
      <c r="B53" s="135" t="s">
        <v>117</v>
      </c>
      <c r="C53" s="136"/>
      <c r="D53" s="149"/>
      <c r="E53" s="157"/>
    </row>
    <row r="54" spans="1:5" ht="15.75" x14ac:dyDescent="0.25">
      <c r="A54" s="19" t="s">
        <v>396</v>
      </c>
      <c r="B54" s="20" t="s">
        <v>426</v>
      </c>
      <c r="C54" s="5" t="s">
        <v>16</v>
      </c>
      <c r="D54" s="62">
        <f>(4*1*4)+(2.5*1*5)</f>
        <v>28.5</v>
      </c>
      <c r="E54" s="153" t="s">
        <v>553</v>
      </c>
    </row>
    <row r="55" spans="1:5" ht="15.75" x14ac:dyDescent="0.25">
      <c r="A55" s="19" t="s">
        <v>397</v>
      </c>
      <c r="B55" s="20" t="s">
        <v>429</v>
      </c>
      <c r="C55" s="5" t="s">
        <v>16</v>
      </c>
      <c r="D55" s="62">
        <f>3*2.1</f>
        <v>6.3000000000000007</v>
      </c>
      <c r="E55" s="153" t="s">
        <v>432</v>
      </c>
    </row>
    <row r="56" spans="1:5" ht="31.5" x14ac:dyDescent="0.25">
      <c r="A56" s="19" t="s">
        <v>431</v>
      </c>
      <c r="B56" s="20" t="s">
        <v>428</v>
      </c>
      <c r="C56" s="5" t="s">
        <v>16</v>
      </c>
      <c r="D56" s="62">
        <f>D54+D55</f>
        <v>34.799999999999997</v>
      </c>
      <c r="E56" s="153" t="s">
        <v>433</v>
      </c>
    </row>
    <row r="57" spans="1:5" ht="110.25" x14ac:dyDescent="0.25">
      <c r="A57" s="19" t="s">
        <v>555</v>
      </c>
      <c r="B57" s="20" t="s">
        <v>556</v>
      </c>
      <c r="C57" s="5" t="s">
        <v>6</v>
      </c>
      <c r="D57" s="62">
        <v>1</v>
      </c>
      <c r="E57" s="153" t="s">
        <v>559</v>
      </c>
    </row>
    <row r="58" spans="1:5" ht="47.25" x14ac:dyDescent="0.25">
      <c r="A58" s="19" t="s">
        <v>557</v>
      </c>
      <c r="B58" s="20" t="s">
        <v>558</v>
      </c>
      <c r="C58" s="5" t="s">
        <v>16</v>
      </c>
      <c r="D58" s="62">
        <v>2</v>
      </c>
      <c r="E58" s="153" t="s">
        <v>560</v>
      </c>
    </row>
    <row r="59" spans="1:5" ht="15.75" x14ac:dyDescent="0.25">
      <c r="A59" s="142" t="s">
        <v>406</v>
      </c>
      <c r="B59" s="144" t="s">
        <v>35</v>
      </c>
      <c r="C59" s="145"/>
      <c r="D59" s="149"/>
      <c r="E59" s="157"/>
    </row>
    <row r="60" spans="1:5" ht="15.75" x14ac:dyDescent="0.25">
      <c r="A60" s="133" t="s">
        <v>407</v>
      </c>
      <c r="B60" s="135" t="s">
        <v>55</v>
      </c>
      <c r="C60" s="136"/>
      <c r="D60" s="149"/>
      <c r="E60" s="157"/>
    </row>
    <row r="61" spans="1:5" ht="94.5" x14ac:dyDescent="0.25">
      <c r="A61" s="19" t="s">
        <v>408</v>
      </c>
      <c r="B61" s="20" t="s">
        <v>38</v>
      </c>
      <c r="C61" s="5" t="s">
        <v>16</v>
      </c>
      <c r="D61" s="8">
        <f>51.08*2</f>
        <v>102.16</v>
      </c>
      <c r="E61" s="153" t="s">
        <v>615</v>
      </c>
    </row>
    <row r="62" spans="1:5" ht="78.75" x14ac:dyDescent="0.25">
      <c r="A62" s="19" t="s">
        <v>409</v>
      </c>
      <c r="B62" s="20" t="s">
        <v>250</v>
      </c>
      <c r="C62" s="5" t="s">
        <v>16</v>
      </c>
      <c r="D62" s="8">
        <f>D63</f>
        <v>335.88</v>
      </c>
      <c r="E62" s="153" t="s">
        <v>614</v>
      </c>
    </row>
    <row r="63" spans="1:5" ht="45" x14ac:dyDescent="0.25">
      <c r="A63" s="19" t="s">
        <v>410</v>
      </c>
      <c r="B63" s="20" t="s">
        <v>39</v>
      </c>
      <c r="C63" s="5" t="s">
        <v>16</v>
      </c>
      <c r="D63" s="8">
        <f>171.36+164.52</f>
        <v>335.88</v>
      </c>
      <c r="E63" s="153" t="s">
        <v>614</v>
      </c>
    </row>
    <row r="64" spans="1:5" ht="31.5" x14ac:dyDescent="0.25">
      <c r="A64" s="19" t="s">
        <v>411</v>
      </c>
      <c r="B64" s="20" t="s">
        <v>40</v>
      </c>
      <c r="C64" s="5" t="s">
        <v>16</v>
      </c>
      <c r="D64" s="8">
        <f>0.9*2.2*2</f>
        <v>3.9600000000000004</v>
      </c>
      <c r="E64" s="153" t="s">
        <v>616</v>
      </c>
    </row>
    <row r="65" spans="1:5" ht="15.75" x14ac:dyDescent="0.25">
      <c r="A65" s="133" t="s">
        <v>412</v>
      </c>
      <c r="B65" s="135" t="s">
        <v>120</v>
      </c>
      <c r="C65" s="136"/>
      <c r="D65" s="137"/>
      <c r="E65" s="157"/>
    </row>
    <row r="66" spans="1:5" ht="47.25" x14ac:dyDescent="0.25">
      <c r="A66" s="19" t="s">
        <v>413</v>
      </c>
      <c r="B66" s="20" t="s">
        <v>121</v>
      </c>
      <c r="C66" s="5" t="s">
        <v>15</v>
      </c>
      <c r="D66" s="8">
        <f>5.5*2.3*0.07</f>
        <v>0.88549999999999995</v>
      </c>
      <c r="E66" s="153" t="s">
        <v>617</v>
      </c>
    </row>
    <row r="67" spans="1:5" ht="78.75" x14ac:dyDescent="0.25">
      <c r="A67" s="19" t="s">
        <v>414</v>
      </c>
      <c r="B67" s="80" t="s">
        <v>249</v>
      </c>
      <c r="C67" s="131" t="s">
        <v>15</v>
      </c>
      <c r="D67" s="8">
        <f>D66</f>
        <v>0.88549999999999995</v>
      </c>
      <c r="E67" s="153" t="s">
        <v>620</v>
      </c>
    </row>
    <row r="68" spans="1:5" ht="63" x14ac:dyDescent="0.25">
      <c r="A68" s="19" t="s">
        <v>415</v>
      </c>
      <c r="B68" s="20" t="s">
        <v>41</v>
      </c>
      <c r="C68" s="5" t="s">
        <v>16</v>
      </c>
      <c r="D68" s="8">
        <f>5.5*2.3</f>
        <v>12.649999999999999</v>
      </c>
      <c r="E68" s="153" t="s">
        <v>618</v>
      </c>
    </row>
    <row r="69" spans="1:5" ht="15.75" x14ac:dyDescent="0.25">
      <c r="A69" s="133" t="s">
        <v>416</v>
      </c>
      <c r="B69" s="135" t="s">
        <v>24</v>
      </c>
      <c r="C69" s="145"/>
      <c r="D69" s="137"/>
      <c r="E69" s="157"/>
    </row>
    <row r="70" spans="1:5" ht="90" x14ac:dyDescent="0.25">
      <c r="A70" s="19" t="s">
        <v>417</v>
      </c>
      <c r="B70" s="20" t="s">
        <v>25</v>
      </c>
      <c r="C70" s="5" t="s">
        <v>16</v>
      </c>
      <c r="D70" s="8">
        <f>D71</f>
        <v>109.94</v>
      </c>
      <c r="E70" s="153" t="s">
        <v>619</v>
      </c>
    </row>
    <row r="71" spans="1:5" ht="75" x14ac:dyDescent="0.25">
      <c r="A71" s="19" t="s">
        <v>418</v>
      </c>
      <c r="B71" s="20" t="s">
        <v>37</v>
      </c>
      <c r="C71" s="5" t="s">
        <v>16</v>
      </c>
      <c r="D71" s="8">
        <f>439.76*0.25</f>
        <v>109.94</v>
      </c>
      <c r="E71" s="153" t="s">
        <v>688</v>
      </c>
    </row>
    <row r="72" spans="1:5" ht="15.75" x14ac:dyDescent="0.25">
      <c r="A72" s="133" t="s">
        <v>608</v>
      </c>
      <c r="B72" s="135" t="s">
        <v>46</v>
      </c>
      <c r="C72" s="145"/>
      <c r="D72" s="137"/>
      <c r="E72" s="157"/>
    </row>
    <row r="73" spans="1:5" ht="63" x14ac:dyDescent="0.25">
      <c r="A73" s="19" t="s">
        <v>609</v>
      </c>
      <c r="B73" s="20" t="s">
        <v>42</v>
      </c>
      <c r="C73" s="5" t="s">
        <v>16</v>
      </c>
      <c r="D73" s="8">
        <f>2.5*0.4</f>
        <v>1</v>
      </c>
      <c r="E73" s="153" t="s">
        <v>621</v>
      </c>
    </row>
    <row r="74" spans="1:5" ht="63" x14ac:dyDescent="0.25">
      <c r="A74" s="19" t="s">
        <v>610</v>
      </c>
      <c r="B74" s="20" t="s">
        <v>28</v>
      </c>
      <c r="C74" s="5" t="s">
        <v>16</v>
      </c>
      <c r="D74" s="8">
        <f>D73</f>
        <v>1</v>
      </c>
      <c r="E74" s="153" t="s">
        <v>621</v>
      </c>
    </row>
    <row r="75" spans="1:5" ht="78.75" x14ac:dyDescent="0.25">
      <c r="A75" s="19" t="s">
        <v>611</v>
      </c>
      <c r="B75" s="80" t="s">
        <v>63</v>
      </c>
      <c r="C75" s="5" t="s">
        <v>16</v>
      </c>
      <c r="D75" s="8">
        <f>D74</f>
        <v>1</v>
      </c>
      <c r="E75" s="153" t="s">
        <v>621</v>
      </c>
    </row>
    <row r="76" spans="1:5" ht="15.75" x14ac:dyDescent="0.25">
      <c r="A76" s="142" t="s">
        <v>419</v>
      </c>
      <c r="B76" s="144" t="s">
        <v>45</v>
      </c>
      <c r="C76" s="145"/>
      <c r="D76" s="149"/>
      <c r="E76" s="157"/>
    </row>
    <row r="77" spans="1:5" ht="15.75" x14ac:dyDescent="0.25">
      <c r="A77" s="133" t="s">
        <v>420</v>
      </c>
      <c r="B77" s="135" t="s">
        <v>56</v>
      </c>
      <c r="C77" s="145"/>
      <c r="D77" s="149"/>
      <c r="E77" s="157"/>
    </row>
    <row r="78" spans="1:5" ht="78.75" x14ac:dyDescent="0.25">
      <c r="A78" s="19" t="s">
        <v>421</v>
      </c>
      <c r="B78" s="20" t="s">
        <v>250</v>
      </c>
      <c r="C78" s="5" t="s">
        <v>16</v>
      </c>
      <c r="D78" s="8">
        <f>17.5*4.2*2</f>
        <v>147</v>
      </c>
      <c r="E78" s="153" t="s">
        <v>602</v>
      </c>
    </row>
    <row r="79" spans="1:5" ht="31.5" x14ac:dyDescent="0.25">
      <c r="A79" s="19" t="s">
        <v>422</v>
      </c>
      <c r="B79" s="20" t="s">
        <v>39</v>
      </c>
      <c r="C79" s="5" t="s">
        <v>16</v>
      </c>
      <c r="D79" s="8">
        <f>D78</f>
        <v>147</v>
      </c>
      <c r="E79" s="153" t="s">
        <v>603</v>
      </c>
    </row>
    <row r="80" spans="1:5" ht="47.25" x14ac:dyDescent="0.25">
      <c r="A80" s="19" t="s">
        <v>605</v>
      </c>
      <c r="B80" s="20" t="s">
        <v>606</v>
      </c>
      <c r="C80" s="5" t="s">
        <v>11</v>
      </c>
      <c r="D80" s="34">
        <f>2.45*11*2</f>
        <v>53.900000000000006</v>
      </c>
      <c r="E80" s="153" t="s">
        <v>607</v>
      </c>
    </row>
    <row r="81" spans="1:5" ht="15.75" x14ac:dyDescent="0.25">
      <c r="A81" s="133" t="s">
        <v>423</v>
      </c>
      <c r="B81" s="135" t="s">
        <v>24</v>
      </c>
      <c r="C81" s="167"/>
      <c r="D81" s="137"/>
      <c r="E81" s="168"/>
    </row>
    <row r="82" spans="1:5" ht="31.5" x14ac:dyDescent="0.25">
      <c r="A82" s="19" t="s">
        <v>424</v>
      </c>
      <c r="B82" s="20" t="s">
        <v>25</v>
      </c>
      <c r="C82" s="5" t="s">
        <v>16</v>
      </c>
      <c r="D82" s="8">
        <f>D83</f>
        <v>43.825000000000003</v>
      </c>
      <c r="E82" s="153" t="s">
        <v>604</v>
      </c>
    </row>
    <row r="83" spans="1:5" ht="63" x14ac:dyDescent="0.25">
      <c r="A83" s="19" t="s">
        <v>425</v>
      </c>
      <c r="B83" s="20" t="s">
        <v>37</v>
      </c>
      <c r="C83" s="5" t="s">
        <v>16</v>
      </c>
      <c r="D83" s="8">
        <f>175.3*0.25</f>
        <v>43.825000000000003</v>
      </c>
      <c r="E83" s="153" t="s">
        <v>689</v>
      </c>
    </row>
    <row r="84" spans="1:5" ht="47.25" x14ac:dyDescent="0.25">
      <c r="A84" s="19" t="s">
        <v>612</v>
      </c>
      <c r="B84" s="20" t="s">
        <v>342</v>
      </c>
      <c r="C84" s="5" t="s">
        <v>16</v>
      </c>
      <c r="D84" s="8">
        <f>25.65+41.04</f>
        <v>66.69</v>
      </c>
      <c r="E84" s="153" t="s">
        <v>613</v>
      </c>
    </row>
    <row r="85" spans="1:5" ht="26.25" customHeight="1" x14ac:dyDescent="0.25">
      <c r="A85" s="163"/>
      <c r="B85" s="144" t="s">
        <v>533</v>
      </c>
      <c r="C85" s="164"/>
      <c r="D85" s="149"/>
      <c r="E85" s="157"/>
    </row>
    <row r="86" spans="1:5" ht="15.75" x14ac:dyDescent="0.25">
      <c r="A86" s="165" t="s">
        <v>439</v>
      </c>
      <c r="B86" s="166" t="s">
        <v>442</v>
      </c>
      <c r="C86" s="166"/>
      <c r="D86" s="149"/>
      <c r="E86" s="157"/>
    </row>
    <row r="87" spans="1:5" ht="15.75" x14ac:dyDescent="0.25">
      <c r="A87" s="142" t="s">
        <v>440</v>
      </c>
      <c r="B87" s="144" t="s">
        <v>99</v>
      </c>
      <c r="C87" s="145"/>
      <c r="D87" s="149"/>
      <c r="E87" s="157"/>
    </row>
    <row r="88" spans="1:5" ht="15.75" x14ac:dyDescent="0.25">
      <c r="A88" s="133" t="s">
        <v>441</v>
      </c>
      <c r="B88" s="144" t="s">
        <v>59</v>
      </c>
      <c r="C88" s="145"/>
      <c r="D88" s="149"/>
      <c r="E88" s="157"/>
    </row>
    <row r="89" spans="1:5" ht="15.75" x14ac:dyDescent="0.25">
      <c r="A89" s="19" t="s">
        <v>443</v>
      </c>
      <c r="B89" s="20" t="s">
        <v>100</v>
      </c>
      <c r="C89" s="5" t="s">
        <v>16</v>
      </c>
      <c r="D89" s="34">
        <v>18</v>
      </c>
      <c r="E89" s="156" t="s">
        <v>622</v>
      </c>
    </row>
    <row r="90" spans="1:5" ht="60" x14ac:dyDescent="0.25">
      <c r="A90" s="19" t="s">
        <v>444</v>
      </c>
      <c r="B90" s="20" t="s">
        <v>105</v>
      </c>
      <c r="C90" s="5" t="s">
        <v>15</v>
      </c>
      <c r="D90" s="34">
        <f>(182.16*0.07)+(18*0.05)</f>
        <v>13.651200000000001</v>
      </c>
      <c r="E90" s="156" t="s">
        <v>623</v>
      </c>
    </row>
    <row r="91" spans="1:5" ht="78.75" x14ac:dyDescent="0.25">
      <c r="A91" s="19" t="s">
        <v>445</v>
      </c>
      <c r="B91" s="80" t="s">
        <v>249</v>
      </c>
      <c r="C91" s="79" t="s">
        <v>15</v>
      </c>
      <c r="D91" s="46">
        <f>(D89*0.05)+D90</f>
        <v>14.551200000000001</v>
      </c>
      <c r="E91" s="156" t="s">
        <v>624</v>
      </c>
    </row>
    <row r="92" spans="1:5" ht="15.75" x14ac:dyDescent="0.25">
      <c r="A92" s="133" t="s">
        <v>446</v>
      </c>
      <c r="B92" s="144" t="s">
        <v>106</v>
      </c>
      <c r="C92" s="145"/>
      <c r="D92" s="149"/>
      <c r="E92" s="157"/>
    </row>
    <row r="93" spans="1:5" ht="47.25" x14ac:dyDescent="0.25">
      <c r="A93" s="19" t="s">
        <v>447</v>
      </c>
      <c r="B93" s="20" t="s">
        <v>107</v>
      </c>
      <c r="C93" s="5" t="s">
        <v>15</v>
      </c>
      <c r="D93" s="34">
        <f>(182.16+18)*0.05</f>
        <v>10.008000000000001</v>
      </c>
      <c r="E93" s="156" t="s">
        <v>625</v>
      </c>
    </row>
    <row r="94" spans="1:5" ht="94.5" x14ac:dyDescent="0.25">
      <c r="A94" s="19" t="s">
        <v>448</v>
      </c>
      <c r="B94" s="20" t="s">
        <v>102</v>
      </c>
      <c r="C94" s="5" t="s">
        <v>16</v>
      </c>
      <c r="D94" s="34">
        <f>182.16+18</f>
        <v>200.16</v>
      </c>
      <c r="E94" s="156" t="s">
        <v>626</v>
      </c>
    </row>
    <row r="95" spans="1:5" ht="15.75" x14ac:dyDescent="0.25">
      <c r="A95" s="66" t="s">
        <v>449</v>
      </c>
      <c r="B95" s="114" t="s">
        <v>103</v>
      </c>
      <c r="C95" s="113" t="s">
        <v>16</v>
      </c>
      <c r="D95" s="150">
        <f>D94</f>
        <v>200.16</v>
      </c>
      <c r="E95" s="158" t="s">
        <v>110</v>
      </c>
    </row>
    <row r="96" spans="1:5" ht="15.75" x14ac:dyDescent="0.25">
      <c r="A96" s="142" t="s">
        <v>450</v>
      </c>
      <c r="B96" s="144" t="s">
        <v>142</v>
      </c>
      <c r="C96" s="145"/>
      <c r="D96" s="149"/>
      <c r="E96" s="157"/>
    </row>
    <row r="97" spans="1:5" ht="45" x14ac:dyDescent="0.25">
      <c r="A97" s="151" t="s">
        <v>451</v>
      </c>
      <c r="B97" s="112" t="s">
        <v>80</v>
      </c>
      <c r="C97" s="61" t="s">
        <v>16</v>
      </c>
      <c r="D97" s="152">
        <v>605.23</v>
      </c>
      <c r="E97" s="159" t="s">
        <v>143</v>
      </c>
    </row>
    <row r="98" spans="1:5" ht="31.5" x14ac:dyDescent="0.25">
      <c r="A98" s="19" t="s">
        <v>452</v>
      </c>
      <c r="B98" s="20" t="s">
        <v>108</v>
      </c>
      <c r="C98" s="5" t="s">
        <v>16</v>
      </c>
      <c r="D98" s="34">
        <f>59.35+50.5</f>
        <v>109.85</v>
      </c>
      <c r="E98" s="156" t="s">
        <v>111</v>
      </c>
    </row>
    <row r="99" spans="1:5" ht="15.75" x14ac:dyDescent="0.25">
      <c r="A99" s="133" t="s">
        <v>453</v>
      </c>
      <c r="B99" s="144" t="s">
        <v>112</v>
      </c>
      <c r="C99" s="145"/>
      <c r="D99" s="149"/>
      <c r="E99" s="157"/>
    </row>
    <row r="100" spans="1:5" ht="31.5" x14ac:dyDescent="0.25">
      <c r="A100" s="19" t="s">
        <v>454</v>
      </c>
      <c r="B100" s="80" t="s">
        <v>60</v>
      </c>
      <c r="C100" s="79" t="s">
        <v>16</v>
      </c>
      <c r="D100" s="46">
        <v>21.6</v>
      </c>
      <c r="E100" s="156" t="s">
        <v>115</v>
      </c>
    </row>
    <row r="101" spans="1:5" ht="78.75" x14ac:dyDescent="0.25">
      <c r="A101" s="19" t="s">
        <v>455</v>
      </c>
      <c r="B101" s="80" t="s">
        <v>249</v>
      </c>
      <c r="C101" s="79" t="s">
        <v>15</v>
      </c>
      <c r="D101" s="46">
        <f>D100*0.05</f>
        <v>1.08</v>
      </c>
      <c r="E101" s="156" t="s">
        <v>115</v>
      </c>
    </row>
    <row r="102" spans="1:5" ht="47.25" x14ac:dyDescent="0.25">
      <c r="A102" s="19" t="s">
        <v>456</v>
      </c>
      <c r="B102" s="80" t="s">
        <v>61</v>
      </c>
      <c r="C102" s="79" t="s">
        <v>16</v>
      </c>
      <c r="D102" s="46">
        <v>21.6</v>
      </c>
      <c r="E102" s="267" t="s">
        <v>116</v>
      </c>
    </row>
    <row r="103" spans="1:5" ht="78.75" x14ac:dyDescent="0.25">
      <c r="A103" s="19" t="s">
        <v>457</v>
      </c>
      <c r="B103" s="80" t="s">
        <v>113</v>
      </c>
      <c r="C103" s="79" t="s">
        <v>16</v>
      </c>
      <c r="D103" s="46">
        <v>21.6</v>
      </c>
      <c r="E103" s="268"/>
    </row>
    <row r="104" spans="1:5" ht="47.25" x14ac:dyDescent="0.25">
      <c r="A104" s="66" t="s">
        <v>458</v>
      </c>
      <c r="B104" s="80" t="s">
        <v>114</v>
      </c>
      <c r="C104" s="79" t="s">
        <v>16</v>
      </c>
      <c r="D104" s="59">
        <v>21.6</v>
      </c>
      <c r="E104" s="268"/>
    </row>
    <row r="105" spans="1:5" ht="15.75" x14ac:dyDescent="0.25">
      <c r="A105" s="142" t="s">
        <v>459</v>
      </c>
      <c r="B105" s="144" t="s">
        <v>117</v>
      </c>
      <c r="C105" s="145"/>
      <c r="D105" s="149"/>
      <c r="E105" s="157"/>
    </row>
    <row r="106" spans="1:5" ht="15.75" x14ac:dyDescent="0.25">
      <c r="A106" s="133" t="s">
        <v>460</v>
      </c>
      <c r="B106" s="144" t="s">
        <v>118</v>
      </c>
      <c r="C106" s="145"/>
      <c r="D106" s="149"/>
      <c r="E106" s="157"/>
    </row>
    <row r="107" spans="1:5" ht="31.5" x14ac:dyDescent="0.25">
      <c r="A107" s="19" t="s">
        <v>461</v>
      </c>
      <c r="B107" s="20" t="s">
        <v>133</v>
      </c>
      <c r="C107" s="85" t="s">
        <v>16</v>
      </c>
      <c r="D107" s="62">
        <f>1.2*0.5*4</f>
        <v>2.4</v>
      </c>
      <c r="E107" s="156" t="s">
        <v>134</v>
      </c>
    </row>
    <row r="108" spans="1:5" ht="31.5" x14ac:dyDescent="0.25">
      <c r="A108" s="133" t="s">
        <v>462</v>
      </c>
      <c r="B108" s="144" t="s">
        <v>200</v>
      </c>
      <c r="C108" s="145"/>
      <c r="D108" s="149"/>
      <c r="E108" s="157"/>
    </row>
    <row r="109" spans="1:5" ht="15.75" x14ac:dyDescent="0.25">
      <c r="A109" s="19" t="s">
        <v>463</v>
      </c>
      <c r="B109" s="31" t="s">
        <v>147</v>
      </c>
      <c r="C109" s="28" t="s">
        <v>6</v>
      </c>
      <c r="D109" s="62">
        <v>2</v>
      </c>
      <c r="E109" s="156" t="s">
        <v>201</v>
      </c>
    </row>
    <row r="110" spans="1:5" ht="31.5" x14ac:dyDescent="0.25">
      <c r="A110" s="19" t="s">
        <v>464</v>
      </c>
      <c r="B110" s="31" t="s">
        <v>695</v>
      </c>
      <c r="C110" s="28" t="s">
        <v>11</v>
      </c>
      <c r="D110" s="62">
        <f>0.8+2.1+2.1</f>
        <v>5</v>
      </c>
      <c r="E110" s="156" t="s">
        <v>202</v>
      </c>
    </row>
    <row r="111" spans="1:5" ht="94.5" x14ac:dyDescent="0.25">
      <c r="A111" s="19" t="s">
        <v>465</v>
      </c>
      <c r="B111" s="20" t="s">
        <v>696</v>
      </c>
      <c r="C111" s="85" t="s">
        <v>6</v>
      </c>
      <c r="D111" s="62">
        <v>1</v>
      </c>
      <c r="E111" s="156" t="s">
        <v>203</v>
      </c>
    </row>
    <row r="112" spans="1:5" ht="63" x14ac:dyDescent="0.25">
      <c r="A112" s="19" t="s">
        <v>466</v>
      </c>
      <c r="B112" s="20" t="s">
        <v>199</v>
      </c>
      <c r="C112" s="85" t="s">
        <v>6</v>
      </c>
      <c r="D112" s="62">
        <v>1</v>
      </c>
      <c r="E112" s="156" t="s">
        <v>204</v>
      </c>
    </row>
    <row r="113" spans="1:5" ht="31.5" x14ac:dyDescent="0.25">
      <c r="A113" s="19" t="s">
        <v>467</v>
      </c>
      <c r="B113" s="114" t="s">
        <v>403</v>
      </c>
      <c r="C113" s="113" t="s">
        <v>159</v>
      </c>
      <c r="D113" s="64">
        <v>1</v>
      </c>
      <c r="E113" s="158" t="s">
        <v>233</v>
      </c>
    </row>
    <row r="114" spans="1:5" ht="15.75" x14ac:dyDescent="0.25">
      <c r="A114" s="133" t="s">
        <v>627</v>
      </c>
      <c r="B114" s="144" t="s">
        <v>628</v>
      </c>
      <c r="C114" s="145"/>
      <c r="D114" s="149"/>
      <c r="E114" s="160"/>
    </row>
    <row r="115" spans="1:5" ht="31.5" x14ac:dyDescent="0.25">
      <c r="A115" s="19" t="s">
        <v>633</v>
      </c>
      <c r="B115" s="20" t="s">
        <v>697</v>
      </c>
      <c r="C115" s="5" t="s">
        <v>16</v>
      </c>
      <c r="D115" s="62">
        <f>(2*0.6*11)+(1*0.6)+(0.7*0.7)</f>
        <v>14.29</v>
      </c>
      <c r="E115" s="156" t="s">
        <v>636</v>
      </c>
    </row>
    <row r="116" spans="1:5" ht="15.75" x14ac:dyDescent="0.25">
      <c r="A116" s="19" t="s">
        <v>634</v>
      </c>
      <c r="B116" s="20" t="s">
        <v>631</v>
      </c>
      <c r="C116" s="5" t="s">
        <v>16</v>
      </c>
      <c r="D116" s="62">
        <f>(2*0.6*11)+(1*0.6)+(0.7*0.7)</f>
        <v>14.29</v>
      </c>
      <c r="E116" s="156" t="s">
        <v>636</v>
      </c>
    </row>
    <row r="117" spans="1:5" ht="78.75" x14ac:dyDescent="0.25">
      <c r="A117" s="19" t="s">
        <v>635</v>
      </c>
      <c r="B117" s="80" t="s">
        <v>249</v>
      </c>
      <c r="C117" s="79" t="s">
        <v>15</v>
      </c>
      <c r="D117" s="62">
        <f>D115*0.05</f>
        <v>0.71450000000000002</v>
      </c>
      <c r="E117" s="156" t="s">
        <v>637</v>
      </c>
    </row>
    <row r="118" spans="1:5" ht="15.75" x14ac:dyDescent="0.25">
      <c r="A118" s="142" t="s">
        <v>468</v>
      </c>
      <c r="B118" s="144" t="s">
        <v>434</v>
      </c>
      <c r="C118" s="145"/>
      <c r="D118" s="149"/>
      <c r="E118" s="157"/>
    </row>
    <row r="119" spans="1:5" ht="30" x14ac:dyDescent="0.25">
      <c r="A119" s="19" t="s">
        <v>469</v>
      </c>
      <c r="B119" s="114" t="s">
        <v>238</v>
      </c>
      <c r="C119" s="113" t="s">
        <v>240</v>
      </c>
      <c r="D119" s="64">
        <f>1280.9*10</f>
        <v>12809</v>
      </c>
      <c r="E119" s="154" t="s">
        <v>335</v>
      </c>
    </row>
    <row r="120" spans="1:5" ht="15.75" x14ac:dyDescent="0.25">
      <c r="A120" s="142" t="s">
        <v>470</v>
      </c>
      <c r="B120" s="144" t="s">
        <v>534</v>
      </c>
      <c r="C120" s="145"/>
      <c r="D120" s="149"/>
      <c r="E120" s="157"/>
    </row>
    <row r="121" spans="1:5" ht="47.25" x14ac:dyDescent="0.25">
      <c r="A121" s="19" t="s">
        <v>535</v>
      </c>
      <c r="B121" s="112" t="s">
        <v>332</v>
      </c>
      <c r="C121" s="61" t="s">
        <v>334</v>
      </c>
      <c r="D121" s="74">
        <v>2</v>
      </c>
      <c r="E121" s="155" t="s">
        <v>541</v>
      </c>
    </row>
    <row r="122" spans="1:5" ht="15.75" x14ac:dyDescent="0.25">
      <c r="A122" s="142" t="s">
        <v>472</v>
      </c>
      <c r="B122" s="144" t="s">
        <v>471</v>
      </c>
      <c r="C122" s="145"/>
      <c r="D122" s="149"/>
      <c r="E122" s="157"/>
    </row>
    <row r="123" spans="1:5" ht="31.5" x14ac:dyDescent="0.25">
      <c r="A123" s="19" t="s">
        <v>536</v>
      </c>
      <c r="B123" s="20" t="s">
        <v>188</v>
      </c>
      <c r="C123" s="5" t="s">
        <v>16</v>
      </c>
      <c r="D123" s="62">
        <v>182</v>
      </c>
      <c r="E123" s="156" t="s">
        <v>192</v>
      </c>
    </row>
    <row r="124" spans="1:5" ht="15.75" x14ac:dyDescent="0.25">
      <c r="A124" s="19" t="s">
        <v>537</v>
      </c>
      <c r="B124" s="20" t="s">
        <v>190</v>
      </c>
      <c r="C124" s="5" t="s">
        <v>11</v>
      </c>
      <c r="D124" s="62">
        <f>22.4+41.9</f>
        <v>64.3</v>
      </c>
      <c r="E124" s="156" t="s">
        <v>193</v>
      </c>
    </row>
    <row r="125" spans="1:5" ht="47.25" x14ac:dyDescent="0.25">
      <c r="A125" s="19" t="s">
        <v>538</v>
      </c>
      <c r="B125" s="20" t="s">
        <v>187</v>
      </c>
      <c r="C125" s="5" t="s">
        <v>16</v>
      </c>
      <c r="D125" s="62">
        <v>182</v>
      </c>
      <c r="E125" s="156" t="s">
        <v>192</v>
      </c>
    </row>
    <row r="126" spans="1:5" ht="63" x14ac:dyDescent="0.25">
      <c r="A126" s="19" t="s">
        <v>539</v>
      </c>
      <c r="B126" s="20" t="s">
        <v>195</v>
      </c>
      <c r="C126" s="5" t="s">
        <v>11</v>
      </c>
      <c r="D126" s="62">
        <f>D124</f>
        <v>64.3</v>
      </c>
      <c r="E126" s="156" t="s">
        <v>193</v>
      </c>
    </row>
    <row r="127" spans="1:5" ht="47.25" x14ac:dyDescent="0.25">
      <c r="A127" s="19" t="s">
        <v>540</v>
      </c>
      <c r="B127" s="20" t="s">
        <v>698</v>
      </c>
      <c r="C127" s="5" t="s">
        <v>11</v>
      </c>
      <c r="D127" s="62">
        <f>6*4.5</f>
        <v>27</v>
      </c>
      <c r="E127" s="153" t="s">
        <v>197</v>
      </c>
    </row>
    <row r="128" spans="1:5" ht="15.75" x14ac:dyDescent="0.25">
      <c r="A128" s="133" t="s">
        <v>474</v>
      </c>
      <c r="B128" s="144" t="s">
        <v>473</v>
      </c>
      <c r="C128" s="145"/>
      <c r="D128" s="149"/>
      <c r="E128" s="157"/>
    </row>
    <row r="129" spans="1:5" ht="45" x14ac:dyDescent="0.25">
      <c r="A129" s="19" t="s">
        <v>475</v>
      </c>
      <c r="B129" s="20" t="s">
        <v>74</v>
      </c>
      <c r="C129" s="5" t="s">
        <v>11</v>
      </c>
      <c r="D129" s="62">
        <v>30</v>
      </c>
      <c r="E129" s="156" t="s">
        <v>77</v>
      </c>
    </row>
    <row r="130" spans="1:5" ht="15.75" x14ac:dyDescent="0.25">
      <c r="A130" s="142" t="s">
        <v>476</v>
      </c>
      <c r="B130" s="144" t="s">
        <v>131</v>
      </c>
      <c r="C130" s="145"/>
      <c r="D130" s="149"/>
      <c r="E130" s="157"/>
    </row>
    <row r="131" spans="1:5" ht="15.75" x14ac:dyDescent="0.25">
      <c r="A131" s="133" t="s">
        <v>477</v>
      </c>
      <c r="B131" s="144" t="s">
        <v>135</v>
      </c>
      <c r="C131" s="145"/>
      <c r="D131" s="149"/>
      <c r="E131" s="157"/>
    </row>
    <row r="132" spans="1:5" ht="15.75" x14ac:dyDescent="0.25">
      <c r="A132" s="19" t="s">
        <v>478</v>
      </c>
      <c r="B132" s="31" t="s">
        <v>147</v>
      </c>
      <c r="C132" s="28" t="s">
        <v>6</v>
      </c>
      <c r="D132" s="74">
        <v>4</v>
      </c>
      <c r="E132" s="159" t="s">
        <v>162</v>
      </c>
    </row>
    <row r="133" spans="1:5" ht="31.5" x14ac:dyDescent="0.25">
      <c r="A133" s="19" t="s">
        <v>479</v>
      </c>
      <c r="B133" s="31" t="s">
        <v>695</v>
      </c>
      <c r="C133" s="28" t="s">
        <v>11</v>
      </c>
      <c r="D133" s="62">
        <f>(1.5+2.1+2.1)*2</f>
        <v>11.4</v>
      </c>
      <c r="E133" s="156" t="s">
        <v>163</v>
      </c>
    </row>
    <row r="134" spans="1:5" ht="31.5" x14ac:dyDescent="0.25">
      <c r="A134" s="19" t="s">
        <v>480</v>
      </c>
      <c r="B134" s="31" t="s">
        <v>151</v>
      </c>
      <c r="C134" s="28" t="s">
        <v>6</v>
      </c>
      <c r="D134" s="62">
        <v>2</v>
      </c>
      <c r="E134" s="156"/>
    </row>
    <row r="135" spans="1:5" ht="15.75" x14ac:dyDescent="0.25">
      <c r="A135" s="19" t="s">
        <v>481</v>
      </c>
      <c r="B135" s="31" t="s">
        <v>153</v>
      </c>
      <c r="C135" s="28" t="s">
        <v>6</v>
      </c>
      <c r="D135" s="62">
        <v>2</v>
      </c>
      <c r="E135" s="156"/>
    </row>
    <row r="136" spans="1:5" ht="15.75" x14ac:dyDescent="0.25">
      <c r="A136" s="19" t="s">
        <v>482</v>
      </c>
      <c r="B136" s="31" t="s">
        <v>155</v>
      </c>
      <c r="C136" s="28" t="s">
        <v>6</v>
      </c>
      <c r="D136" s="62">
        <v>4</v>
      </c>
      <c r="E136" s="156"/>
    </row>
    <row r="137" spans="1:5" ht="15.75" x14ac:dyDescent="0.25">
      <c r="A137" s="19" t="s">
        <v>483</v>
      </c>
      <c r="B137" s="31" t="s">
        <v>157</v>
      </c>
      <c r="C137" s="28" t="s">
        <v>11</v>
      </c>
      <c r="D137" s="62">
        <f>1.5+2.1+2.1+1.5+2.1+2.1</f>
        <v>11.4</v>
      </c>
      <c r="E137" s="156"/>
    </row>
    <row r="138" spans="1:5" ht="63" x14ac:dyDescent="0.25">
      <c r="A138" s="19" t="s">
        <v>484</v>
      </c>
      <c r="B138" s="31" t="s">
        <v>699</v>
      </c>
      <c r="C138" s="28" t="s">
        <v>159</v>
      </c>
      <c r="D138" s="62">
        <v>2</v>
      </c>
      <c r="E138" s="156"/>
    </row>
    <row r="139" spans="1:5" ht="30" x14ac:dyDescent="0.25">
      <c r="A139" s="19" t="s">
        <v>485</v>
      </c>
      <c r="B139" s="80" t="s">
        <v>173</v>
      </c>
      <c r="C139" s="79" t="s">
        <v>16</v>
      </c>
      <c r="D139" s="62">
        <f>(0.5*2.5*4)+(1.8*0.4*2)</f>
        <v>6.44</v>
      </c>
      <c r="E139" s="156" t="s">
        <v>185</v>
      </c>
    </row>
    <row r="140" spans="1:5" ht="63" x14ac:dyDescent="0.25">
      <c r="A140" s="19" t="s">
        <v>486</v>
      </c>
      <c r="B140" s="80" t="s">
        <v>62</v>
      </c>
      <c r="C140" s="79" t="s">
        <v>16</v>
      </c>
      <c r="D140" s="62">
        <f>D139*2</f>
        <v>12.88</v>
      </c>
      <c r="E140" s="156" t="s">
        <v>186</v>
      </c>
    </row>
    <row r="141" spans="1:5" ht="78.75" x14ac:dyDescent="0.25">
      <c r="A141" s="19" t="s">
        <v>487</v>
      </c>
      <c r="B141" s="80" t="s">
        <v>63</v>
      </c>
      <c r="C141" s="79" t="s">
        <v>16</v>
      </c>
      <c r="D141" s="62">
        <f>D139*2</f>
        <v>12.88</v>
      </c>
      <c r="E141" s="156" t="s">
        <v>186</v>
      </c>
    </row>
    <row r="142" spans="1:5" ht="15.75" x14ac:dyDescent="0.25">
      <c r="A142" s="133" t="s">
        <v>488</v>
      </c>
      <c r="B142" s="144" t="s">
        <v>26</v>
      </c>
      <c r="C142" s="145"/>
      <c r="D142" s="149"/>
      <c r="E142" s="160"/>
    </row>
    <row r="143" spans="1:5" ht="31.5" x14ac:dyDescent="0.25">
      <c r="A143" s="19" t="s">
        <v>489</v>
      </c>
      <c r="B143" s="31" t="s">
        <v>136</v>
      </c>
      <c r="C143" s="28" t="s">
        <v>11</v>
      </c>
      <c r="D143" s="62">
        <v>50</v>
      </c>
      <c r="E143" s="267" t="s">
        <v>138</v>
      </c>
    </row>
    <row r="144" spans="1:5" ht="47.25" x14ac:dyDescent="0.25">
      <c r="A144" s="19" t="s">
        <v>490</v>
      </c>
      <c r="B144" s="20" t="s">
        <v>27</v>
      </c>
      <c r="C144" s="5" t="s">
        <v>11</v>
      </c>
      <c r="D144" s="62">
        <v>150</v>
      </c>
      <c r="E144" s="269"/>
    </row>
    <row r="145" spans="1:5" ht="94.5" x14ac:dyDescent="0.25">
      <c r="A145" s="19" t="s">
        <v>491</v>
      </c>
      <c r="B145" s="20" t="s">
        <v>43</v>
      </c>
      <c r="C145" s="5" t="s">
        <v>54</v>
      </c>
      <c r="D145" s="62">
        <v>10</v>
      </c>
      <c r="E145" s="156" t="s">
        <v>139</v>
      </c>
    </row>
    <row r="146" spans="1:5" ht="15.75" x14ac:dyDescent="0.25">
      <c r="A146" s="142" t="s">
        <v>492</v>
      </c>
      <c r="B146" s="144" t="s">
        <v>122</v>
      </c>
      <c r="C146" s="145"/>
      <c r="D146" s="149"/>
      <c r="E146" s="157"/>
    </row>
    <row r="147" spans="1:5" ht="15.75" x14ac:dyDescent="0.25">
      <c r="A147" s="133" t="s">
        <v>493</v>
      </c>
      <c r="B147" s="144" t="s">
        <v>123</v>
      </c>
      <c r="C147" s="145"/>
      <c r="D147" s="149"/>
      <c r="E147" s="157"/>
    </row>
    <row r="148" spans="1:5" ht="47.25" x14ac:dyDescent="0.25">
      <c r="A148" s="19" t="s">
        <v>494</v>
      </c>
      <c r="B148" s="20" t="s">
        <v>127</v>
      </c>
      <c r="C148" s="28" t="s">
        <v>15</v>
      </c>
      <c r="D148" s="62">
        <f>20.5*29.5*0.05</f>
        <v>30.237500000000001</v>
      </c>
      <c r="E148" s="156" t="s">
        <v>144</v>
      </c>
    </row>
    <row r="149" spans="1:5" ht="15.75" x14ac:dyDescent="0.25">
      <c r="A149" s="133" t="s">
        <v>495</v>
      </c>
      <c r="B149" s="144" t="s">
        <v>126</v>
      </c>
      <c r="C149" s="145"/>
      <c r="D149" s="149"/>
      <c r="E149" s="160"/>
    </row>
    <row r="150" spans="1:5" ht="31.5" x14ac:dyDescent="0.25">
      <c r="A150" s="19" t="s">
        <v>496</v>
      </c>
      <c r="B150" s="20" t="s">
        <v>145</v>
      </c>
      <c r="C150" s="5" t="s">
        <v>16</v>
      </c>
      <c r="D150" s="62">
        <f>20.5*29.5</f>
        <v>604.75</v>
      </c>
      <c r="E150" s="156" t="s">
        <v>128</v>
      </c>
    </row>
    <row r="151" spans="1:5" ht="15.75" x14ac:dyDescent="0.25">
      <c r="A151" s="133" t="s">
        <v>497</v>
      </c>
      <c r="B151" s="144" t="s">
        <v>129</v>
      </c>
      <c r="C151" s="145"/>
      <c r="D151" s="149"/>
      <c r="E151" s="160"/>
    </row>
    <row r="152" spans="1:5" ht="47.25" x14ac:dyDescent="0.25">
      <c r="A152" s="66" t="s">
        <v>498</v>
      </c>
      <c r="B152" s="31" t="s">
        <v>36</v>
      </c>
      <c r="C152" s="28" t="s">
        <v>16</v>
      </c>
      <c r="D152" s="64">
        <f>20.5*29.5</f>
        <v>604.75</v>
      </c>
      <c r="E152" s="158" t="s">
        <v>130</v>
      </c>
    </row>
    <row r="153" spans="1:5" ht="15.75" x14ac:dyDescent="0.25">
      <c r="A153" s="142" t="s">
        <v>499</v>
      </c>
      <c r="B153" s="144" t="s">
        <v>164</v>
      </c>
      <c r="C153" s="145"/>
      <c r="D153" s="149"/>
      <c r="E153" s="157"/>
    </row>
    <row r="154" spans="1:5" ht="15.75" x14ac:dyDescent="0.25">
      <c r="A154" s="133" t="s">
        <v>500</v>
      </c>
      <c r="B154" s="144" t="s">
        <v>123</v>
      </c>
      <c r="C154" s="145"/>
      <c r="D154" s="149"/>
      <c r="E154" s="157"/>
    </row>
    <row r="155" spans="1:5" ht="47.25" x14ac:dyDescent="0.25">
      <c r="A155" s="19" t="s">
        <v>501</v>
      </c>
      <c r="B155" s="20" t="s">
        <v>44</v>
      </c>
      <c r="C155" s="5" t="s">
        <v>16</v>
      </c>
      <c r="D155" s="62">
        <f>((1.5*0.9)+(0.35*0.9*2)+(0.5*1.25*3))*0.15</f>
        <v>0.57824999999999993</v>
      </c>
      <c r="E155" s="156" t="s">
        <v>166</v>
      </c>
    </row>
    <row r="156" spans="1:5" ht="31.5" x14ac:dyDescent="0.25">
      <c r="A156" s="19" t="s">
        <v>502</v>
      </c>
      <c r="B156" s="80" t="s">
        <v>60</v>
      </c>
      <c r="C156" s="79" t="s">
        <v>16</v>
      </c>
      <c r="D156" s="62">
        <f>(4*2.6)+(4.8*2.6)</f>
        <v>22.880000000000003</v>
      </c>
      <c r="E156" s="156" t="s">
        <v>167</v>
      </c>
    </row>
    <row r="157" spans="1:5" ht="78.75" x14ac:dyDescent="0.25">
      <c r="A157" s="19" t="s">
        <v>503</v>
      </c>
      <c r="B157" s="80" t="s">
        <v>249</v>
      </c>
      <c r="C157" s="79" t="s">
        <v>15</v>
      </c>
      <c r="D157" s="62">
        <f>(D156*0.05)+D155</f>
        <v>1.7222500000000001</v>
      </c>
      <c r="E157" s="156"/>
    </row>
    <row r="158" spans="1:5" ht="15.75" x14ac:dyDescent="0.25">
      <c r="A158" s="133" t="s">
        <v>504</v>
      </c>
      <c r="B158" s="144" t="s">
        <v>165</v>
      </c>
      <c r="C158" s="145"/>
      <c r="D158" s="149"/>
      <c r="E158" s="160"/>
    </row>
    <row r="159" spans="1:5" ht="47.25" x14ac:dyDescent="0.25">
      <c r="A159" s="19" t="s">
        <v>505</v>
      </c>
      <c r="B159" s="80" t="s">
        <v>61</v>
      </c>
      <c r="C159" s="79" t="s">
        <v>16</v>
      </c>
      <c r="D159" s="62">
        <f>D156</f>
        <v>22.880000000000003</v>
      </c>
      <c r="E159" s="156"/>
    </row>
    <row r="160" spans="1:5" ht="63" x14ac:dyDescent="0.25">
      <c r="A160" s="19" t="s">
        <v>506</v>
      </c>
      <c r="B160" s="80" t="s">
        <v>62</v>
      </c>
      <c r="C160" s="79" t="s">
        <v>16</v>
      </c>
      <c r="D160" s="62">
        <f>D156</f>
        <v>22.880000000000003</v>
      </c>
      <c r="E160" s="156"/>
    </row>
    <row r="161" spans="1:5" ht="78.75" x14ac:dyDescent="0.25">
      <c r="A161" s="19" t="s">
        <v>507</v>
      </c>
      <c r="B161" s="80" t="s">
        <v>63</v>
      </c>
      <c r="C161" s="79" t="s">
        <v>16</v>
      </c>
      <c r="D161" s="62">
        <f>D156</f>
        <v>22.880000000000003</v>
      </c>
      <c r="E161" s="156"/>
    </row>
    <row r="162" spans="1:5" ht="47.25" x14ac:dyDescent="0.25">
      <c r="A162" s="19" t="s">
        <v>508</v>
      </c>
      <c r="B162" s="20" t="s">
        <v>700</v>
      </c>
      <c r="C162" s="5" t="s">
        <v>16</v>
      </c>
      <c r="D162" s="62">
        <f>0.7*1.5*2</f>
        <v>2.0999999999999996</v>
      </c>
      <c r="E162" s="156" t="s">
        <v>242</v>
      </c>
    </row>
    <row r="163" spans="1:5" ht="15.75" x14ac:dyDescent="0.25">
      <c r="A163" s="133" t="s">
        <v>509</v>
      </c>
      <c r="B163" s="144" t="s">
        <v>170</v>
      </c>
      <c r="C163" s="145"/>
      <c r="D163" s="149"/>
      <c r="E163" s="160"/>
    </row>
    <row r="164" spans="1:5" ht="47.25" x14ac:dyDescent="0.25">
      <c r="A164" s="19" t="s">
        <v>510</v>
      </c>
      <c r="B164" s="80" t="s">
        <v>701</v>
      </c>
      <c r="C164" s="79" t="s">
        <v>6</v>
      </c>
      <c r="D164" s="64">
        <v>2</v>
      </c>
      <c r="E164" s="158"/>
    </row>
    <row r="165" spans="1:5" ht="15.75" x14ac:dyDescent="0.25">
      <c r="A165" s="133" t="s">
        <v>511</v>
      </c>
      <c r="B165" s="144" t="s">
        <v>171</v>
      </c>
      <c r="C165" s="145"/>
      <c r="D165" s="149"/>
      <c r="E165" s="160"/>
    </row>
    <row r="166" spans="1:5" ht="30" x14ac:dyDescent="0.25">
      <c r="A166" s="19" t="s">
        <v>512</v>
      </c>
      <c r="B166" s="80" t="s">
        <v>172</v>
      </c>
      <c r="C166" s="79" t="s">
        <v>15</v>
      </c>
      <c r="D166" s="74">
        <f>0.3*0.5*15</f>
        <v>2.25</v>
      </c>
      <c r="E166" s="159" t="s">
        <v>180</v>
      </c>
    </row>
    <row r="167" spans="1:5" ht="30" x14ac:dyDescent="0.25">
      <c r="A167" s="19" t="s">
        <v>513</v>
      </c>
      <c r="B167" s="80" t="s">
        <v>173</v>
      </c>
      <c r="C167" s="79" t="s">
        <v>16</v>
      </c>
      <c r="D167" s="62">
        <f>(0.9*0.7*2)+(0.6*0.9*2)+(0.7*0.1*2)+(0.6*0.1)</f>
        <v>2.54</v>
      </c>
      <c r="E167" s="156" t="s">
        <v>181</v>
      </c>
    </row>
    <row r="168" spans="1:5" ht="63" x14ac:dyDescent="0.25">
      <c r="A168" s="19" t="s">
        <v>514</v>
      </c>
      <c r="B168" s="80" t="s">
        <v>62</v>
      </c>
      <c r="C168" s="79" t="s">
        <v>16</v>
      </c>
      <c r="D168" s="62">
        <f>D167</f>
        <v>2.54</v>
      </c>
      <c r="E168" s="156"/>
    </row>
    <row r="169" spans="1:5" ht="78.75" x14ac:dyDescent="0.25">
      <c r="A169" s="19" t="s">
        <v>515</v>
      </c>
      <c r="B169" s="80" t="s">
        <v>63</v>
      </c>
      <c r="C169" s="79" t="s">
        <v>16</v>
      </c>
      <c r="D169" s="62">
        <f>D168</f>
        <v>2.54</v>
      </c>
      <c r="E169" s="156"/>
    </row>
    <row r="170" spans="1:5" ht="47.25" x14ac:dyDescent="0.25">
      <c r="A170" s="19" t="s">
        <v>516</v>
      </c>
      <c r="B170" s="20" t="s">
        <v>700</v>
      </c>
      <c r="C170" s="5" t="s">
        <v>16</v>
      </c>
      <c r="D170" s="62">
        <f>1.4</f>
        <v>1.4</v>
      </c>
      <c r="E170" s="156" t="s">
        <v>182</v>
      </c>
    </row>
    <row r="171" spans="1:5" ht="110.25" x14ac:dyDescent="0.25">
      <c r="A171" s="19" t="s">
        <v>517</v>
      </c>
      <c r="B171" s="20" t="s">
        <v>177</v>
      </c>
      <c r="C171" s="5" t="s">
        <v>6</v>
      </c>
      <c r="D171" s="62">
        <v>1</v>
      </c>
      <c r="E171" s="156"/>
    </row>
    <row r="172" spans="1:5" ht="47.25" x14ac:dyDescent="0.25">
      <c r="A172" s="19" t="s">
        <v>518</v>
      </c>
      <c r="B172" s="20" t="s">
        <v>178</v>
      </c>
      <c r="C172" s="5" t="s">
        <v>6</v>
      </c>
      <c r="D172" s="62">
        <v>1</v>
      </c>
      <c r="E172" s="156"/>
    </row>
    <row r="173" spans="1:5" ht="47.25" x14ac:dyDescent="0.25">
      <c r="A173" s="19" t="s">
        <v>519</v>
      </c>
      <c r="B173" s="20" t="s">
        <v>179</v>
      </c>
      <c r="C173" s="5" t="s">
        <v>6</v>
      </c>
      <c r="D173" s="62">
        <v>1</v>
      </c>
      <c r="E173" s="156"/>
    </row>
    <row r="174" spans="1:5" ht="15.75" x14ac:dyDescent="0.25">
      <c r="A174" s="142" t="s">
        <v>520</v>
      </c>
      <c r="B174" s="144" t="s">
        <v>48</v>
      </c>
      <c r="C174" s="145"/>
      <c r="D174" s="149"/>
      <c r="E174" s="157"/>
    </row>
    <row r="175" spans="1:5" ht="15.75" x14ac:dyDescent="0.25">
      <c r="A175" s="133" t="s">
        <v>521</v>
      </c>
      <c r="B175" s="144" t="s">
        <v>237</v>
      </c>
      <c r="C175" s="145"/>
      <c r="D175" s="149"/>
      <c r="E175" s="157"/>
    </row>
    <row r="176" spans="1:5" ht="32.25" customHeight="1" x14ac:dyDescent="0.25">
      <c r="A176" s="19" t="s">
        <v>522</v>
      </c>
      <c r="B176" s="20" t="s">
        <v>238</v>
      </c>
      <c r="C176" s="5" t="s">
        <v>240</v>
      </c>
      <c r="D176" s="62">
        <f>716.79*10</f>
        <v>7167.9</v>
      </c>
      <c r="E176" s="156" t="s">
        <v>593</v>
      </c>
    </row>
    <row r="177" spans="1:5" ht="102.75" customHeight="1" x14ac:dyDescent="0.25">
      <c r="A177" s="19" t="s">
        <v>523</v>
      </c>
      <c r="B177" s="20" t="s">
        <v>43</v>
      </c>
      <c r="C177" s="5" t="s">
        <v>54</v>
      </c>
      <c r="D177" s="62">
        <f>4*4.5*1</f>
        <v>18</v>
      </c>
      <c r="E177" s="156" t="s">
        <v>598</v>
      </c>
    </row>
    <row r="178" spans="1:5" ht="87" customHeight="1" x14ac:dyDescent="0.25">
      <c r="A178" s="19" t="s">
        <v>524</v>
      </c>
      <c r="B178" s="20" t="s">
        <v>328</v>
      </c>
      <c r="C178" s="5" t="s">
        <v>16</v>
      </c>
      <c r="D178" s="62">
        <v>83.88</v>
      </c>
      <c r="E178" s="156" t="s">
        <v>594</v>
      </c>
    </row>
    <row r="179" spans="1:5" ht="47.25" x14ac:dyDescent="0.25">
      <c r="A179" s="19" t="s">
        <v>586</v>
      </c>
      <c r="B179" s="20" t="s">
        <v>404</v>
      </c>
      <c r="C179" s="5" t="s">
        <v>16</v>
      </c>
      <c r="D179" s="62">
        <f>44.95*2.5</f>
        <v>112.375</v>
      </c>
      <c r="E179" s="153" t="s">
        <v>595</v>
      </c>
    </row>
    <row r="180" spans="1:5" ht="63" x14ac:dyDescent="0.25">
      <c r="A180" s="19" t="s">
        <v>587</v>
      </c>
      <c r="B180" s="20" t="s">
        <v>702</v>
      </c>
      <c r="C180" s="5" t="s">
        <v>16</v>
      </c>
      <c r="D180" s="62">
        <f>33.35+11.2+37.2+49.9</f>
        <v>131.65</v>
      </c>
      <c r="E180" s="153" t="s">
        <v>573</v>
      </c>
    </row>
    <row r="181" spans="1:5" ht="31.5" x14ac:dyDescent="0.25">
      <c r="A181" s="19" t="s">
        <v>588</v>
      </c>
      <c r="B181" s="20" t="s">
        <v>572</v>
      </c>
      <c r="C181" s="5" t="s">
        <v>16</v>
      </c>
      <c r="D181" s="62">
        <f>'pintura área de luta'!D40</f>
        <v>166.19400000000002</v>
      </c>
      <c r="E181" s="153" t="s">
        <v>583</v>
      </c>
    </row>
    <row r="182" spans="1:5" ht="47.25" x14ac:dyDescent="0.25">
      <c r="A182" s="19" t="s">
        <v>589</v>
      </c>
      <c r="B182" s="20" t="s">
        <v>405</v>
      </c>
      <c r="C182" s="5" t="s">
        <v>16</v>
      </c>
      <c r="D182" s="62">
        <f>(26.9*2.9*2)-(2.5*1.2*5)-(0.9*2.1)</f>
        <v>139.13</v>
      </c>
      <c r="E182" s="153" t="s">
        <v>596</v>
      </c>
    </row>
    <row r="183" spans="1:5" ht="47.25" x14ac:dyDescent="0.25">
      <c r="A183" s="130" t="s">
        <v>590</v>
      </c>
      <c r="B183" s="20" t="s">
        <v>245</v>
      </c>
      <c r="C183" s="5" t="s">
        <v>16</v>
      </c>
      <c r="D183" s="62">
        <f>10.35*2</f>
        <v>20.7</v>
      </c>
      <c r="E183" s="153" t="s">
        <v>584</v>
      </c>
    </row>
    <row r="184" spans="1:5" ht="78.75" x14ac:dyDescent="0.25">
      <c r="A184" s="130" t="s">
        <v>591</v>
      </c>
      <c r="B184" s="20" t="s">
        <v>328</v>
      </c>
      <c r="C184" s="5" t="s">
        <v>16</v>
      </c>
      <c r="D184" s="62">
        <f>9.8*2</f>
        <v>19.600000000000001</v>
      </c>
      <c r="E184" s="153" t="s">
        <v>585</v>
      </c>
    </row>
    <row r="185" spans="1:5" ht="15.75" x14ac:dyDescent="0.25">
      <c r="A185" s="133" t="s">
        <v>592</v>
      </c>
      <c r="B185" s="144" t="s">
        <v>566</v>
      </c>
      <c r="C185" s="145"/>
      <c r="D185" s="149"/>
      <c r="E185" s="160"/>
    </row>
    <row r="186" spans="1:5" ht="31.5" x14ac:dyDescent="0.25">
      <c r="A186" s="19" t="s">
        <v>599</v>
      </c>
      <c r="B186" s="20" t="s">
        <v>703</v>
      </c>
      <c r="C186" s="5" t="s">
        <v>16</v>
      </c>
      <c r="D186" s="62">
        <v>340.88</v>
      </c>
      <c r="E186" s="156" t="s">
        <v>567</v>
      </c>
    </row>
    <row r="187" spans="1:5" ht="47.25" x14ac:dyDescent="0.25">
      <c r="A187" s="19" t="s">
        <v>600</v>
      </c>
      <c r="B187" s="31" t="s">
        <v>36</v>
      </c>
      <c r="C187" s="28" t="s">
        <v>16</v>
      </c>
      <c r="D187" s="62">
        <f>D186</f>
        <v>340.88</v>
      </c>
      <c r="E187" s="156" t="s">
        <v>568</v>
      </c>
    </row>
    <row r="188" spans="1:5" ht="15.75" x14ac:dyDescent="0.25">
      <c r="A188" s="133" t="s">
        <v>649</v>
      </c>
      <c r="B188" s="135" t="s">
        <v>205</v>
      </c>
      <c r="C188" s="136"/>
      <c r="D188" s="169"/>
      <c r="E188" s="168"/>
    </row>
    <row r="189" spans="1:5" ht="31.5" x14ac:dyDescent="0.25">
      <c r="A189" s="19" t="s">
        <v>650</v>
      </c>
      <c r="B189" s="20" t="s">
        <v>206</v>
      </c>
      <c r="C189" s="5" t="s">
        <v>16</v>
      </c>
      <c r="D189" s="62">
        <v>10.36</v>
      </c>
      <c r="E189" s="156" t="s">
        <v>401</v>
      </c>
    </row>
    <row r="190" spans="1:5" ht="15.75" x14ac:dyDescent="0.25">
      <c r="A190" s="19" t="s">
        <v>651</v>
      </c>
      <c r="B190" s="20" t="s">
        <v>208</v>
      </c>
      <c r="C190" s="5" t="s">
        <v>6</v>
      </c>
      <c r="D190" s="62">
        <v>4</v>
      </c>
      <c r="E190" s="156" t="s">
        <v>219</v>
      </c>
    </row>
    <row r="191" spans="1:5" ht="15.75" x14ac:dyDescent="0.25">
      <c r="A191" s="19" t="s">
        <v>652</v>
      </c>
      <c r="B191" s="20" t="s">
        <v>210</v>
      </c>
      <c r="C191" s="5" t="s">
        <v>6</v>
      </c>
      <c r="D191" s="62">
        <v>4</v>
      </c>
      <c r="E191" s="156"/>
    </row>
    <row r="192" spans="1:5" ht="78.75" x14ac:dyDescent="0.25">
      <c r="A192" s="19" t="s">
        <v>653</v>
      </c>
      <c r="B192" s="80" t="s">
        <v>249</v>
      </c>
      <c r="C192" s="79" t="s">
        <v>15</v>
      </c>
      <c r="D192" s="62">
        <f>(D189*0.05)+(D190*0.6*0.5)</f>
        <v>1.718</v>
      </c>
      <c r="E192" s="156"/>
    </row>
    <row r="193" spans="1:5" ht="63" x14ac:dyDescent="0.25">
      <c r="A193" s="19" t="s">
        <v>654</v>
      </c>
      <c r="B193" s="20" t="s">
        <v>400</v>
      </c>
      <c r="C193" s="5" t="s">
        <v>16</v>
      </c>
      <c r="D193" s="62">
        <f>D189</f>
        <v>10.36</v>
      </c>
      <c r="E193" s="156" t="s">
        <v>402</v>
      </c>
    </row>
    <row r="194" spans="1:5" ht="63" x14ac:dyDescent="0.25">
      <c r="A194" s="19" t="s">
        <v>655</v>
      </c>
      <c r="B194" s="20" t="s">
        <v>212</v>
      </c>
      <c r="C194" s="5" t="s">
        <v>6</v>
      </c>
      <c r="D194" s="62">
        <v>2</v>
      </c>
      <c r="E194" s="156"/>
    </row>
    <row r="195" spans="1:5" ht="94.5" x14ac:dyDescent="0.25">
      <c r="A195" s="19" t="s">
        <v>656</v>
      </c>
      <c r="B195" s="20" t="s">
        <v>398</v>
      </c>
      <c r="C195" s="5" t="s">
        <v>6</v>
      </c>
      <c r="D195" s="62">
        <v>1</v>
      </c>
      <c r="E195" s="156"/>
    </row>
    <row r="196" spans="1:5" ht="47.25" x14ac:dyDescent="0.25">
      <c r="A196" s="19" t="s">
        <v>657</v>
      </c>
      <c r="B196" s="20" t="s">
        <v>399</v>
      </c>
      <c r="C196" s="5" t="s">
        <v>16</v>
      </c>
      <c r="D196" s="62">
        <f>0.5*1.5</f>
        <v>0.75</v>
      </c>
      <c r="E196" s="156" t="s">
        <v>224</v>
      </c>
    </row>
    <row r="197" spans="1:5" ht="63" x14ac:dyDescent="0.25">
      <c r="A197" s="19" t="s">
        <v>658</v>
      </c>
      <c r="B197" s="20" t="s">
        <v>214</v>
      </c>
      <c r="C197" s="5" t="s">
        <v>6</v>
      </c>
      <c r="D197" s="62">
        <v>1</v>
      </c>
      <c r="E197" s="156"/>
    </row>
    <row r="198" spans="1:5" ht="15.75" x14ac:dyDescent="0.25">
      <c r="A198" s="19" t="s">
        <v>659</v>
      </c>
      <c r="B198" s="20" t="s">
        <v>215</v>
      </c>
      <c r="C198" s="5" t="s">
        <v>6</v>
      </c>
      <c r="D198" s="62">
        <v>2</v>
      </c>
      <c r="E198" s="156"/>
    </row>
    <row r="199" spans="1:5" ht="47.25" x14ac:dyDescent="0.25">
      <c r="A199" s="19" t="s">
        <v>660</v>
      </c>
      <c r="B199" s="20" t="s">
        <v>218</v>
      </c>
      <c r="C199" s="5" t="s">
        <v>6</v>
      </c>
      <c r="D199" s="62">
        <v>1</v>
      </c>
      <c r="E199" s="156"/>
    </row>
    <row r="200" spans="1:5" ht="47.25" x14ac:dyDescent="0.25">
      <c r="A200" s="19" t="s">
        <v>661</v>
      </c>
      <c r="B200" s="20" t="s">
        <v>217</v>
      </c>
      <c r="C200" s="5" t="s">
        <v>6</v>
      </c>
      <c r="D200" s="62">
        <v>3</v>
      </c>
      <c r="E200" s="156"/>
    </row>
    <row r="201" spans="1:5" ht="31.5" x14ac:dyDescent="0.25">
      <c r="A201" s="19" t="s">
        <v>662</v>
      </c>
      <c r="B201" s="20" t="s">
        <v>221</v>
      </c>
      <c r="C201" s="5" t="s">
        <v>6</v>
      </c>
      <c r="D201" s="62">
        <v>1</v>
      </c>
      <c r="E201" s="156"/>
    </row>
    <row r="202" spans="1:5" ht="15.75" x14ac:dyDescent="0.25">
      <c r="A202" s="19" t="s">
        <v>663</v>
      </c>
      <c r="B202" s="20" t="s">
        <v>222</v>
      </c>
      <c r="C202" s="5" t="s">
        <v>6</v>
      </c>
      <c r="D202" s="62">
        <v>1</v>
      </c>
      <c r="E202" s="156"/>
    </row>
    <row r="203" spans="1:5" ht="15.75" x14ac:dyDescent="0.25">
      <c r="A203" s="19" t="s">
        <v>664</v>
      </c>
      <c r="B203" s="20" t="s">
        <v>227</v>
      </c>
      <c r="C203" s="5" t="s">
        <v>6</v>
      </c>
      <c r="D203" s="62">
        <v>2</v>
      </c>
      <c r="E203" s="156" t="s">
        <v>234</v>
      </c>
    </row>
    <row r="204" spans="1:5" ht="15.75" x14ac:dyDescent="0.25">
      <c r="A204" s="19" t="s">
        <v>665</v>
      </c>
      <c r="B204" s="20" t="s">
        <v>229</v>
      </c>
      <c r="C204" s="5" t="s">
        <v>6</v>
      </c>
      <c r="D204" s="62">
        <v>2</v>
      </c>
      <c r="E204" s="156" t="s">
        <v>235</v>
      </c>
    </row>
    <row r="205" spans="1:5" ht="31.5" x14ac:dyDescent="0.25">
      <c r="A205" s="19" t="s">
        <v>666</v>
      </c>
      <c r="B205" s="20" t="s">
        <v>403</v>
      </c>
      <c r="C205" s="5" t="s">
        <v>159</v>
      </c>
      <c r="D205" s="62">
        <v>2</v>
      </c>
      <c r="E205" s="156" t="s">
        <v>235</v>
      </c>
    </row>
    <row r="206" spans="1:5" ht="15.75" x14ac:dyDescent="0.25">
      <c r="A206" s="142" t="s">
        <v>525</v>
      </c>
      <c r="B206" s="144" t="s">
        <v>30</v>
      </c>
      <c r="C206" s="145"/>
      <c r="D206" s="149"/>
      <c r="E206" s="157"/>
    </row>
    <row r="207" spans="1:5" ht="15.75" x14ac:dyDescent="0.25">
      <c r="A207" s="133" t="s">
        <v>526</v>
      </c>
      <c r="B207" s="144" t="s">
        <v>59</v>
      </c>
      <c r="C207" s="145"/>
      <c r="D207" s="149"/>
      <c r="E207" s="157"/>
    </row>
    <row r="208" spans="1:5" ht="31.5" x14ac:dyDescent="0.25">
      <c r="A208" s="19" t="s">
        <v>527</v>
      </c>
      <c r="B208" s="80" t="s">
        <v>60</v>
      </c>
      <c r="C208" s="79" t="s">
        <v>16</v>
      </c>
      <c r="D208" s="90">
        <f>190.3*0.3</f>
        <v>57.09</v>
      </c>
      <c r="E208" s="161" t="s">
        <v>241</v>
      </c>
    </row>
    <row r="209" spans="1:5" ht="78.75" x14ac:dyDescent="0.25">
      <c r="A209" s="19" t="s">
        <v>528</v>
      </c>
      <c r="B209" s="80" t="s">
        <v>249</v>
      </c>
      <c r="C209" s="79" t="s">
        <v>15</v>
      </c>
      <c r="D209" s="90">
        <f>D208*0.05</f>
        <v>2.8545000000000003</v>
      </c>
      <c r="E209" s="161" t="s">
        <v>68</v>
      </c>
    </row>
    <row r="210" spans="1:5" ht="15.75" x14ac:dyDescent="0.25">
      <c r="A210" s="133" t="s">
        <v>529</v>
      </c>
      <c r="B210" s="144" t="s">
        <v>65</v>
      </c>
      <c r="C210" s="145"/>
      <c r="D210" s="149"/>
      <c r="E210" s="162"/>
    </row>
    <row r="211" spans="1:5" ht="47.25" x14ac:dyDescent="0.25">
      <c r="A211" s="19" t="s">
        <v>530</v>
      </c>
      <c r="B211" s="20" t="s">
        <v>66</v>
      </c>
      <c r="C211" s="5" t="s">
        <v>11</v>
      </c>
      <c r="D211" s="90">
        <f>190.3*2</f>
        <v>380.6</v>
      </c>
      <c r="E211" s="161" t="s">
        <v>69</v>
      </c>
    </row>
    <row r="212" spans="1:5" ht="47.25" x14ac:dyDescent="0.25">
      <c r="A212" s="19" t="s">
        <v>531</v>
      </c>
      <c r="B212" s="20" t="s">
        <v>29</v>
      </c>
      <c r="C212" s="5" t="s">
        <v>15</v>
      </c>
      <c r="D212" s="90">
        <f>190.3*0.3*0.07</f>
        <v>3.9963000000000006</v>
      </c>
      <c r="E212" s="161" t="s">
        <v>70</v>
      </c>
    </row>
    <row r="213" spans="1:5" ht="47.25" x14ac:dyDescent="0.25">
      <c r="A213" s="19" t="s">
        <v>532</v>
      </c>
      <c r="B213" s="20" t="s">
        <v>704</v>
      </c>
      <c r="C213" s="5" t="s">
        <v>11</v>
      </c>
      <c r="D213" s="90">
        <f>190.3*2</f>
        <v>380.6</v>
      </c>
      <c r="E213" s="161" t="s">
        <v>73</v>
      </c>
    </row>
    <row r="214" spans="1:5" ht="15.75" x14ac:dyDescent="0.25">
      <c r="A214" s="133" t="s">
        <v>642</v>
      </c>
      <c r="B214" s="144" t="s">
        <v>34</v>
      </c>
      <c r="C214" s="145"/>
      <c r="D214" s="149"/>
      <c r="E214" s="160"/>
    </row>
    <row r="215" spans="1:5" ht="31.5" x14ac:dyDescent="0.25">
      <c r="A215" s="19" t="s">
        <v>643</v>
      </c>
      <c r="B215" s="20" t="s">
        <v>25</v>
      </c>
      <c r="C215" s="5" t="s">
        <v>16</v>
      </c>
      <c r="D215" s="62">
        <f>88*0.15</f>
        <v>13.2</v>
      </c>
      <c r="E215" s="267" t="s">
        <v>119</v>
      </c>
    </row>
    <row r="216" spans="1:5" ht="63" x14ac:dyDescent="0.25">
      <c r="A216" s="19" t="s">
        <v>644</v>
      </c>
      <c r="B216" s="20" t="s">
        <v>37</v>
      </c>
      <c r="C216" s="5" t="s">
        <v>16</v>
      </c>
      <c r="D216" s="62">
        <f>D215</f>
        <v>13.2</v>
      </c>
      <c r="E216" s="269"/>
    </row>
    <row r="217" spans="1:5" ht="31.5" x14ac:dyDescent="0.25">
      <c r="A217" s="19" t="s">
        <v>645</v>
      </c>
      <c r="B217" s="20" t="s">
        <v>31</v>
      </c>
      <c r="C217" s="5" t="s">
        <v>16</v>
      </c>
      <c r="D217" s="62">
        <v>846.05</v>
      </c>
      <c r="E217" s="153" t="s">
        <v>545</v>
      </c>
    </row>
    <row r="218" spans="1:5" ht="48" thickBot="1" x14ac:dyDescent="0.3">
      <c r="A218" s="198" t="s">
        <v>681</v>
      </c>
      <c r="B218" s="206" t="s">
        <v>682</v>
      </c>
      <c r="C218" s="207" t="s">
        <v>16</v>
      </c>
      <c r="D218" s="208">
        <f>D32+30.32</f>
        <v>140.53</v>
      </c>
      <c r="E218" s="209" t="s">
        <v>683</v>
      </c>
    </row>
    <row r="222" spans="1:5" x14ac:dyDescent="0.25">
      <c r="A222" s="266" t="s">
        <v>678</v>
      </c>
      <c r="B222" s="266"/>
      <c r="C222" s="266"/>
      <c r="D222" s="266"/>
      <c r="E222" s="266"/>
    </row>
    <row r="223" spans="1:5" x14ac:dyDescent="0.25">
      <c r="A223" s="179"/>
      <c r="B223" s="180"/>
      <c r="C223" s="181"/>
      <c r="D223" s="179"/>
      <c r="E223" s="179"/>
    </row>
    <row r="224" spans="1:5" x14ac:dyDescent="0.25">
      <c r="A224" s="179"/>
      <c r="B224" s="180"/>
      <c r="C224" s="181"/>
      <c r="D224" s="179"/>
      <c r="E224" s="179"/>
    </row>
    <row r="225" spans="1:5" x14ac:dyDescent="0.25">
      <c r="A225" s="266" t="s">
        <v>243</v>
      </c>
      <c r="B225" s="266"/>
      <c r="C225" s="266"/>
      <c r="D225" s="266"/>
      <c r="E225" s="266"/>
    </row>
    <row r="226" spans="1:5" x14ac:dyDescent="0.25">
      <c r="A226" s="266" t="s">
        <v>236</v>
      </c>
      <c r="B226" s="266"/>
      <c r="C226" s="266"/>
      <c r="D226" s="266"/>
      <c r="E226" s="266"/>
    </row>
    <row r="227" spans="1:5" x14ac:dyDescent="0.25">
      <c r="A227" s="266" t="s">
        <v>244</v>
      </c>
      <c r="B227" s="266"/>
      <c r="C227" s="266"/>
      <c r="D227" s="266"/>
      <c r="E227" s="266"/>
    </row>
  </sheetData>
  <mergeCells count="8">
    <mergeCell ref="A2:E2"/>
    <mergeCell ref="A222:E222"/>
    <mergeCell ref="A225:E225"/>
    <mergeCell ref="A226:E226"/>
    <mergeCell ref="A227:E227"/>
    <mergeCell ref="E102:E104"/>
    <mergeCell ref="E143:E144"/>
    <mergeCell ref="E215:E216"/>
  </mergeCells>
  <conditionalFormatting sqref="B32:B33 B35:B37">
    <cfRule type="expression" dxfId="59" priority="13">
      <formula>IF($J32="I",TRUE,FALSE)</formula>
    </cfRule>
    <cfRule type="expression" dxfId="58" priority="14">
      <formula>IF($J32="T",TRUE,FALSE)</formula>
    </cfRule>
  </conditionalFormatting>
  <conditionalFormatting sqref="B45">
    <cfRule type="expression" dxfId="57" priority="11">
      <formula>IF($J45="I",TRUE,FALSE)</formula>
    </cfRule>
    <cfRule type="expression" dxfId="56" priority="12">
      <formula>IF($J45="T",TRUE,FALSE)</formula>
    </cfRule>
  </conditionalFormatting>
  <conditionalFormatting sqref="B51:B52">
    <cfRule type="expression" dxfId="55" priority="7">
      <formula>IF($J51="I",TRUE,FALSE)</formula>
    </cfRule>
    <cfRule type="expression" dxfId="54" priority="8">
      <formula>IF($J51="T",TRUE,FALSE)</formula>
    </cfRule>
  </conditionalFormatting>
  <conditionalFormatting sqref="B67">
    <cfRule type="expression" dxfId="53" priority="5">
      <formula>IF($J67="I",TRUE,FALSE)</formula>
    </cfRule>
    <cfRule type="expression" dxfId="52" priority="6">
      <formula>IF($J67="T",TRUE,FALSE)</formula>
    </cfRule>
  </conditionalFormatting>
  <conditionalFormatting sqref="B75">
    <cfRule type="expression" dxfId="51" priority="3">
      <formula>IF($J75="I",TRUE,FALSE)</formula>
    </cfRule>
    <cfRule type="expression" dxfId="50" priority="4">
      <formula>IF($J75="T",TRUE,FALSE)</formula>
    </cfRule>
  </conditionalFormatting>
  <conditionalFormatting sqref="B109:B110">
    <cfRule type="expression" dxfId="49" priority="57">
      <formula>IF($M109="I",TRUE,FALSE)</formula>
    </cfRule>
    <cfRule type="expression" dxfId="48" priority="58">
      <formula>IF($M109="T",TRUE,FALSE)</formula>
    </cfRule>
  </conditionalFormatting>
  <conditionalFormatting sqref="B132:B138 B143">
    <cfRule type="expression" dxfId="47" priority="47">
      <formula>IF($M132="I",TRUE,FALSE)</formula>
    </cfRule>
    <cfRule type="expression" dxfId="46" priority="48">
      <formula>IF($M132="T",TRUE,FALSE)</formula>
    </cfRule>
  </conditionalFormatting>
  <conditionalFormatting sqref="B148">
    <cfRule type="expression" dxfId="45" priority="72">
      <formula>IF($M148="T",TRUE,FALSE)</formula>
    </cfRule>
    <cfRule type="expression" dxfId="44" priority="71">
      <formula>IF($M148="I",TRUE,FALSE)</formula>
    </cfRule>
  </conditionalFormatting>
  <conditionalFormatting sqref="B187">
    <cfRule type="expression" dxfId="43" priority="23">
      <formula>IF($M187="I",TRUE,FALSE)</formula>
    </cfRule>
    <cfRule type="expression" dxfId="42" priority="24">
      <formula>IF($M187="T",TRUE,FALSE)</formula>
    </cfRule>
  </conditionalFormatting>
  <conditionalFormatting sqref="B100:C104">
    <cfRule type="expression" dxfId="41" priority="54">
      <formula>IF($M100="T",TRUE,FALSE)</formula>
    </cfRule>
    <cfRule type="expression" dxfId="40" priority="53">
      <formula>IF($M100="I",TRUE,FALSE)</formula>
    </cfRule>
  </conditionalFormatting>
  <conditionalFormatting sqref="B117:C117">
    <cfRule type="expression" dxfId="39" priority="17">
      <formula>IF($M117="I",TRUE,FALSE)</formula>
    </cfRule>
    <cfRule type="expression" dxfId="38" priority="18">
      <formula>IF($M117="T",TRUE,FALSE)</formula>
    </cfRule>
  </conditionalFormatting>
  <conditionalFormatting sqref="B139:C141">
    <cfRule type="expression" dxfId="37" priority="45">
      <formula>IF($M139="I",TRUE,FALSE)</formula>
    </cfRule>
    <cfRule type="expression" dxfId="36" priority="46">
      <formula>IF($M139="T",TRUE,FALSE)</formula>
    </cfRule>
  </conditionalFormatting>
  <conditionalFormatting sqref="B156:C157">
    <cfRule type="expression" dxfId="35" priority="52">
      <formula>IF($M156="T",TRUE,FALSE)</formula>
    </cfRule>
    <cfRule type="expression" dxfId="34" priority="51">
      <formula>IF($M156="I",TRUE,FALSE)</formula>
    </cfRule>
  </conditionalFormatting>
  <conditionalFormatting sqref="B159:C161">
    <cfRule type="expression" dxfId="33" priority="62">
      <formula>IF($M159="T",TRUE,FALSE)</formula>
    </cfRule>
    <cfRule type="expression" dxfId="32" priority="61">
      <formula>IF($M159="I",TRUE,FALSE)</formula>
    </cfRule>
  </conditionalFormatting>
  <conditionalFormatting sqref="B166:C169">
    <cfRule type="expression" dxfId="31" priority="59">
      <formula>IF($M166="I",TRUE,FALSE)</formula>
    </cfRule>
    <cfRule type="expression" dxfId="30" priority="60">
      <formula>IF($M166="T",TRUE,FALSE)</formula>
    </cfRule>
  </conditionalFormatting>
  <conditionalFormatting sqref="B192:C192">
    <cfRule type="expression" dxfId="29" priority="2">
      <formula>IF($M192="T",TRUE,FALSE)</formula>
    </cfRule>
    <cfRule type="expression" dxfId="28" priority="1">
      <formula>IF($M192="I",TRUE,FALSE)</formula>
    </cfRule>
  </conditionalFormatting>
  <conditionalFormatting sqref="B208:C209">
    <cfRule type="expression" dxfId="27" priority="49">
      <formula>IF($M208="I",TRUE,FALSE)</formula>
    </cfRule>
    <cfRule type="expression" dxfId="26" priority="50">
      <formula>IF($M208="T",TRUE,FALSE)</formula>
    </cfRule>
  </conditionalFormatting>
  <conditionalFormatting sqref="B91:D91">
    <cfRule type="expression" dxfId="25" priority="37">
      <formula>IF($M91="I",TRUE,FALSE)</formula>
    </cfRule>
    <cfRule type="expression" dxfId="24" priority="38">
      <formula>IF($M91="T",TRUE,FALSE)</formula>
    </cfRule>
  </conditionalFormatting>
  <conditionalFormatting sqref="C32:C33 C35:C37">
    <cfRule type="expression" dxfId="23" priority="43">
      <formula>IF($M32="I",TRUE,FALSE)</formula>
    </cfRule>
    <cfRule type="expression" dxfId="22" priority="44">
      <formula>IF($M32="T",TRUE,FALSE)</formula>
    </cfRule>
  </conditionalFormatting>
  <conditionalFormatting sqref="C45">
    <cfRule type="expression" dxfId="21" priority="83">
      <formula>IF($M45="I",TRUE,FALSE)</formula>
    </cfRule>
    <cfRule type="expression" dxfId="20" priority="84">
      <formula>IF($M45="T",TRUE,FALSE)</formula>
    </cfRule>
  </conditionalFormatting>
  <conditionalFormatting sqref="C51:C52">
    <cfRule type="expression" dxfId="19" priority="79">
      <formula>IF($M51="I",TRUE,FALSE)</formula>
    </cfRule>
    <cfRule type="expression" dxfId="18" priority="80">
      <formula>IF($M51="T",TRUE,FALSE)</formula>
    </cfRule>
  </conditionalFormatting>
  <conditionalFormatting sqref="C67">
    <cfRule type="expression" dxfId="17" priority="75">
      <formula>IF($M67="I",TRUE,FALSE)</formula>
    </cfRule>
    <cfRule type="expression" dxfId="16" priority="76">
      <formula>IF($M67="T",TRUE,FALSE)</formula>
    </cfRule>
  </conditionalFormatting>
  <conditionalFormatting sqref="C107">
    <cfRule type="expression" dxfId="15" priority="65">
      <formula>IF($M107="I",TRUE,FALSE)</formula>
    </cfRule>
    <cfRule type="expression" dxfId="14" priority="66">
      <formula>IF($M107="T",TRUE,FALSE)</formula>
    </cfRule>
  </conditionalFormatting>
  <conditionalFormatting sqref="C111:C112 B152 B164:C164">
    <cfRule type="expression" dxfId="13" priority="73">
      <formula>IF($M111="I",TRUE,FALSE)</formula>
    </cfRule>
    <cfRule type="expression" dxfId="12" priority="74">
      <formula>IF($M111="T",TRUE,FALSE)</formula>
    </cfRule>
  </conditionalFormatting>
  <conditionalFormatting sqref="D16:D20">
    <cfRule type="expression" dxfId="11" priority="85" stopIfTrue="1">
      <formula>OR(Nível="Meta",Nível="Nível")</formula>
    </cfRule>
  </conditionalFormatting>
  <conditionalFormatting sqref="D22:D23">
    <cfRule type="expression" dxfId="10" priority="89" stopIfTrue="1">
      <formula>OR(Nível="Meta",Nível="Nível")</formula>
    </cfRule>
  </conditionalFormatting>
  <conditionalFormatting sqref="D61:D64 D70:D71">
    <cfRule type="expression" dxfId="9" priority="42" stopIfTrue="1">
      <formula>OR(Nível="Meta",Nível="Nível")</formula>
    </cfRule>
  </conditionalFormatting>
  <conditionalFormatting sqref="D66:D68">
    <cfRule type="expression" dxfId="8" priority="41" stopIfTrue="1">
      <formula>OR(Nível="Meta",Nível="Nível")</formula>
    </cfRule>
  </conditionalFormatting>
  <conditionalFormatting sqref="D73:D75">
    <cfRule type="expression" dxfId="7" priority="22" stopIfTrue="1">
      <formula>OR(Nível="Meta",Nível="Nível")</formula>
    </cfRule>
  </conditionalFormatting>
  <conditionalFormatting sqref="D78:D80">
    <cfRule type="expression" dxfId="6" priority="40" stopIfTrue="1">
      <formula>OR(Nível="Meta",Nível="Nível")</formula>
    </cfRule>
  </conditionalFormatting>
  <conditionalFormatting sqref="D82:D84">
    <cfRule type="expression" dxfId="5" priority="21" stopIfTrue="1">
      <formula>OR(Nível="Meta",Nível="Nível")</formula>
    </cfRule>
  </conditionalFormatting>
  <conditionalFormatting sqref="D89:D90">
    <cfRule type="expression" dxfId="4" priority="39" stopIfTrue="1">
      <formula>OR(Nível="Meta",Nível="Nível")</formula>
    </cfRule>
  </conditionalFormatting>
  <conditionalFormatting sqref="D93:D95">
    <cfRule type="expression" dxfId="3" priority="36" stopIfTrue="1">
      <formula>OR(Nível="Meta",Nível="Nível")</formula>
    </cfRule>
  </conditionalFormatting>
  <conditionalFormatting sqref="D97:D98">
    <cfRule type="expression" dxfId="2" priority="35" stopIfTrue="1">
      <formula>OR(Nível="Meta",Nível="Nível")</formula>
    </cfRule>
  </conditionalFormatting>
  <conditionalFormatting sqref="D100:D104">
    <cfRule type="expression" dxfId="1" priority="27">
      <formula>IF($L100="I",TRUE,FALSE)</formula>
    </cfRule>
    <cfRule type="expression" dxfId="0" priority="28">
      <formula>IF($L100="T",TRUE,FALSE)</formula>
    </cfRule>
  </conditionalFormatting>
  <pageMargins left="0.51181102362204722" right="0.51181102362204722" top="0.78740157480314965" bottom="0.78740157480314965" header="0.31496062992125984" footer="0.31496062992125984"/>
  <pageSetup paperSize="9" scale="65" fitToHeight="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E40"/>
  <sheetViews>
    <sheetView topLeftCell="A25" workbookViewId="0">
      <selection activeCell="E40" sqref="A40:E40"/>
    </sheetView>
  </sheetViews>
  <sheetFormatPr defaultRowHeight="15" x14ac:dyDescent="0.25"/>
  <cols>
    <col min="1" max="2" width="19.140625" style="92" customWidth="1"/>
    <col min="3" max="3" width="12.7109375" style="123" customWidth="1"/>
    <col min="4" max="4" width="9.140625" style="123"/>
  </cols>
  <sheetData>
    <row r="3" spans="1:5" x14ac:dyDescent="0.25">
      <c r="A3" s="127" t="s">
        <v>574</v>
      </c>
      <c r="B3" s="127"/>
      <c r="C3" s="127">
        <f>C5</f>
        <v>30.200000000000003</v>
      </c>
      <c r="D3" s="127" t="s">
        <v>247</v>
      </c>
    </row>
    <row r="4" spans="1:5" x14ac:dyDescent="0.25">
      <c r="A4" s="92" t="s">
        <v>575</v>
      </c>
      <c r="B4" s="92" t="s">
        <v>256</v>
      </c>
      <c r="C4" s="92" t="s">
        <v>246</v>
      </c>
      <c r="D4" s="92"/>
    </row>
    <row r="5" spans="1:5" x14ac:dyDescent="0.25">
      <c r="A5" s="92">
        <v>75.5</v>
      </c>
      <c r="B5" s="92">
        <v>0.4</v>
      </c>
      <c r="C5" s="92">
        <f>A5*B5</f>
        <v>30.200000000000003</v>
      </c>
      <c r="D5" s="92" t="s">
        <v>247</v>
      </c>
    </row>
    <row r="6" spans="1:5" x14ac:dyDescent="0.25">
      <c r="A6" s="124"/>
      <c r="B6" s="124"/>
      <c r="C6" s="125"/>
      <c r="D6" s="125"/>
      <c r="E6" s="9"/>
    </row>
    <row r="7" spans="1:5" x14ac:dyDescent="0.25">
      <c r="A7" s="127" t="s">
        <v>576</v>
      </c>
      <c r="B7" s="127"/>
      <c r="C7" s="127">
        <f>C9-D12-D13</f>
        <v>21.283999999999995</v>
      </c>
      <c r="D7" s="127" t="s">
        <v>247</v>
      </c>
    </row>
    <row r="8" spans="1:5" x14ac:dyDescent="0.25">
      <c r="A8" s="92" t="s">
        <v>575</v>
      </c>
      <c r="B8" s="92" t="s">
        <v>256</v>
      </c>
      <c r="C8" s="92" t="s">
        <v>246</v>
      </c>
      <c r="D8" s="92"/>
    </row>
    <row r="9" spans="1:5" x14ac:dyDescent="0.25">
      <c r="A9" s="92">
        <v>10.08</v>
      </c>
      <c r="B9" s="92">
        <v>2.8</v>
      </c>
      <c r="C9" s="92">
        <f>A9*B9</f>
        <v>28.223999999999997</v>
      </c>
      <c r="D9" s="92" t="s">
        <v>247</v>
      </c>
      <c r="E9" s="9"/>
    </row>
    <row r="10" spans="1:5" x14ac:dyDescent="0.25">
      <c r="A10" s="126" t="s">
        <v>577</v>
      </c>
    </row>
    <row r="11" spans="1:5" x14ac:dyDescent="0.25">
      <c r="A11" s="92" t="s">
        <v>575</v>
      </c>
      <c r="B11" s="92" t="s">
        <v>256</v>
      </c>
      <c r="C11" s="92" t="s">
        <v>578</v>
      </c>
      <c r="D11" s="92" t="s">
        <v>246</v>
      </c>
    </row>
    <row r="12" spans="1:5" x14ac:dyDescent="0.25">
      <c r="A12" s="92">
        <v>2</v>
      </c>
      <c r="B12" s="92">
        <v>1</v>
      </c>
      <c r="C12" s="92">
        <v>2</v>
      </c>
      <c r="D12" s="92">
        <f>A12*B12*C12</f>
        <v>4</v>
      </c>
      <c r="E12" s="92" t="s">
        <v>247</v>
      </c>
    </row>
    <row r="13" spans="1:5" x14ac:dyDescent="0.25">
      <c r="A13" s="92">
        <v>1.4</v>
      </c>
      <c r="B13" s="92">
        <v>2.1</v>
      </c>
      <c r="C13" s="92">
        <v>1</v>
      </c>
      <c r="D13" s="92">
        <f>A13*B13*C13</f>
        <v>2.94</v>
      </c>
      <c r="E13" s="92" t="s">
        <v>247</v>
      </c>
    </row>
    <row r="15" spans="1:5" x14ac:dyDescent="0.25">
      <c r="A15" s="127" t="s">
        <v>579</v>
      </c>
      <c r="B15" s="127"/>
      <c r="C15" s="127">
        <f>C17-D20-D21-D22-D23</f>
        <v>91.539999999999992</v>
      </c>
      <c r="D15" s="127" t="s">
        <v>247</v>
      </c>
    </row>
    <row r="16" spans="1:5" x14ac:dyDescent="0.25">
      <c r="A16" s="92" t="s">
        <v>575</v>
      </c>
      <c r="B16" s="92" t="s">
        <v>256</v>
      </c>
      <c r="C16" s="92" t="s">
        <v>246</v>
      </c>
      <c r="D16" s="92"/>
    </row>
    <row r="17" spans="1:5" x14ac:dyDescent="0.25">
      <c r="A17" s="92">
        <v>40.049999999999997</v>
      </c>
      <c r="B17" s="92">
        <v>2.8</v>
      </c>
      <c r="C17" s="92">
        <f>A17*B17</f>
        <v>112.13999999999999</v>
      </c>
      <c r="D17" s="92" t="s">
        <v>247</v>
      </c>
      <c r="E17" s="9"/>
    </row>
    <row r="18" spans="1:5" x14ac:dyDescent="0.25">
      <c r="A18" s="126" t="s">
        <v>577</v>
      </c>
    </row>
    <row r="19" spans="1:5" x14ac:dyDescent="0.25">
      <c r="A19" s="92" t="s">
        <v>575</v>
      </c>
      <c r="B19" s="92" t="s">
        <v>256</v>
      </c>
      <c r="C19" s="92" t="s">
        <v>578</v>
      </c>
      <c r="D19" s="92" t="s">
        <v>246</v>
      </c>
    </row>
    <row r="20" spans="1:5" x14ac:dyDescent="0.25">
      <c r="A20" s="92">
        <v>2</v>
      </c>
      <c r="B20" s="92">
        <v>1</v>
      </c>
      <c r="C20" s="92">
        <v>4</v>
      </c>
      <c r="D20" s="92">
        <f>A20*B20*C20</f>
        <v>8</v>
      </c>
      <c r="E20" s="92" t="s">
        <v>247</v>
      </c>
    </row>
    <row r="21" spans="1:5" x14ac:dyDescent="0.25">
      <c r="A21" s="92">
        <v>1.4</v>
      </c>
      <c r="B21" s="92">
        <v>2.1</v>
      </c>
      <c r="C21" s="92">
        <v>1</v>
      </c>
      <c r="D21" s="92">
        <f>A21*B21*C21</f>
        <v>2.94</v>
      </c>
      <c r="E21" s="92" t="s">
        <v>247</v>
      </c>
    </row>
    <row r="22" spans="1:5" x14ac:dyDescent="0.25">
      <c r="A22" s="92">
        <v>3</v>
      </c>
      <c r="B22" s="92">
        <v>2.1</v>
      </c>
      <c r="C22" s="92">
        <v>1</v>
      </c>
      <c r="D22" s="92">
        <f t="shared" ref="D22:D23" si="0">A22*B22*C22</f>
        <v>6.3000000000000007</v>
      </c>
      <c r="E22" s="92" t="s">
        <v>247</v>
      </c>
    </row>
    <row r="23" spans="1:5" x14ac:dyDescent="0.25">
      <c r="A23" s="92">
        <v>0.8</v>
      </c>
      <c r="B23" s="92">
        <v>2.1</v>
      </c>
      <c r="C23" s="92">
        <v>2</v>
      </c>
      <c r="D23" s="92">
        <f t="shared" si="0"/>
        <v>3.3600000000000003</v>
      </c>
      <c r="E23" s="92" t="s">
        <v>247</v>
      </c>
    </row>
    <row r="25" spans="1:5" x14ac:dyDescent="0.25">
      <c r="A25" s="127" t="s">
        <v>580</v>
      </c>
      <c r="B25" s="127"/>
      <c r="C25" s="127">
        <f>C27-D30</f>
        <v>12.23</v>
      </c>
      <c r="D25" s="127" t="s">
        <v>247</v>
      </c>
    </row>
    <row r="26" spans="1:5" x14ac:dyDescent="0.25">
      <c r="A26" s="92" t="s">
        <v>575</v>
      </c>
      <c r="B26" s="92" t="s">
        <v>256</v>
      </c>
      <c r="C26" s="92" t="s">
        <v>246</v>
      </c>
      <c r="D26" s="92"/>
    </row>
    <row r="27" spans="1:5" x14ac:dyDescent="0.25">
      <c r="A27" s="92">
        <v>13.13</v>
      </c>
      <c r="B27" s="92">
        <v>1</v>
      </c>
      <c r="C27" s="92">
        <f>A27*B27</f>
        <v>13.13</v>
      </c>
      <c r="D27" s="92" t="s">
        <v>247</v>
      </c>
      <c r="E27" s="9"/>
    </row>
    <row r="28" spans="1:5" x14ac:dyDescent="0.25">
      <c r="A28" s="126" t="s">
        <v>577</v>
      </c>
    </row>
    <row r="29" spans="1:5" x14ac:dyDescent="0.25">
      <c r="A29" s="92" t="s">
        <v>575</v>
      </c>
      <c r="B29" s="92" t="s">
        <v>256</v>
      </c>
      <c r="C29" s="92" t="s">
        <v>578</v>
      </c>
      <c r="D29" s="92" t="s">
        <v>246</v>
      </c>
    </row>
    <row r="30" spans="1:5" x14ac:dyDescent="0.25">
      <c r="A30" s="92">
        <v>1.5</v>
      </c>
      <c r="B30" s="92">
        <v>0.6</v>
      </c>
      <c r="C30" s="92">
        <v>1</v>
      </c>
      <c r="D30" s="92">
        <f>A30*B30*C30</f>
        <v>0.89999999999999991</v>
      </c>
      <c r="E30" s="92" t="s">
        <v>247</v>
      </c>
    </row>
    <row r="32" spans="1:5" x14ac:dyDescent="0.25">
      <c r="A32" s="127" t="s">
        <v>581</v>
      </c>
      <c r="B32" s="127"/>
      <c r="C32" s="127">
        <f>C34-D37</f>
        <v>10.94</v>
      </c>
      <c r="D32" s="127" t="s">
        <v>247</v>
      </c>
    </row>
    <row r="33" spans="1:5" x14ac:dyDescent="0.25">
      <c r="A33" s="92" t="s">
        <v>575</v>
      </c>
      <c r="B33" s="92" t="s">
        <v>256</v>
      </c>
      <c r="C33" s="92" t="s">
        <v>246</v>
      </c>
      <c r="D33" s="92"/>
    </row>
    <row r="34" spans="1:5" x14ac:dyDescent="0.25">
      <c r="A34" s="92">
        <v>11.84</v>
      </c>
      <c r="B34" s="92">
        <v>1</v>
      </c>
      <c r="C34" s="92">
        <f>A34*B34</f>
        <v>11.84</v>
      </c>
      <c r="D34" s="92" t="s">
        <v>247</v>
      </c>
      <c r="E34" s="9"/>
    </row>
    <row r="35" spans="1:5" x14ac:dyDescent="0.25">
      <c r="A35" s="126" t="s">
        <v>577</v>
      </c>
    </row>
    <row r="36" spans="1:5" x14ac:dyDescent="0.25">
      <c r="A36" s="92" t="s">
        <v>575</v>
      </c>
      <c r="B36" s="92" t="s">
        <v>256</v>
      </c>
      <c r="C36" s="92" t="s">
        <v>578</v>
      </c>
      <c r="D36" s="92" t="s">
        <v>246</v>
      </c>
    </row>
    <row r="37" spans="1:5" x14ac:dyDescent="0.25">
      <c r="A37" s="92">
        <v>1.5</v>
      </c>
      <c r="B37" s="92">
        <v>0.6</v>
      </c>
      <c r="C37" s="92">
        <v>1</v>
      </c>
      <c r="D37" s="92">
        <f>A37*B37*C37</f>
        <v>0.89999999999999991</v>
      </c>
      <c r="E37" s="92" t="s">
        <v>247</v>
      </c>
    </row>
    <row r="40" spans="1:5" x14ac:dyDescent="0.25">
      <c r="A40" s="270" t="s">
        <v>582</v>
      </c>
      <c r="B40" s="270"/>
      <c r="C40" s="270"/>
      <c r="D40" s="128">
        <f>C32+C25+C15+C7+C3</f>
        <v>166.19400000000002</v>
      </c>
      <c r="E40" s="129" t="s">
        <v>247</v>
      </c>
    </row>
  </sheetData>
  <mergeCells count="1">
    <mergeCell ref="A40:C4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71"/>
  <sheetViews>
    <sheetView workbookViewId="0">
      <selection activeCell="N4" sqref="N4"/>
    </sheetView>
  </sheetViews>
  <sheetFormatPr defaultRowHeight="15" x14ac:dyDescent="0.25"/>
  <cols>
    <col min="1" max="1" width="23.85546875" customWidth="1"/>
    <col min="2" max="4" width="9.140625" style="92"/>
    <col min="10" max="10" width="21.85546875" style="4" customWidth="1"/>
    <col min="11" max="14" width="9.140625" style="92"/>
    <col min="15" max="15" width="9.140625" style="4"/>
    <col min="16" max="16" width="17.28515625" style="4" customWidth="1"/>
  </cols>
  <sheetData>
    <row r="1" spans="1:16" x14ac:dyDescent="0.25">
      <c r="A1" s="9" t="s">
        <v>251</v>
      </c>
      <c r="D1" s="94">
        <f>D3+D4+D5</f>
        <v>39.795000000000002</v>
      </c>
      <c r="E1" s="95" t="s">
        <v>247</v>
      </c>
      <c r="J1" s="93" t="s">
        <v>265</v>
      </c>
      <c r="K1" s="92" t="s">
        <v>255</v>
      </c>
      <c r="L1" s="92" t="s">
        <v>256</v>
      </c>
      <c r="M1" s="92" t="s">
        <v>261</v>
      </c>
      <c r="N1" s="92" t="s">
        <v>246</v>
      </c>
      <c r="O1" s="92" t="s">
        <v>257</v>
      </c>
      <c r="P1" s="92" t="s">
        <v>262</v>
      </c>
    </row>
    <row r="2" spans="1:16" x14ac:dyDescent="0.25">
      <c r="A2" t="s">
        <v>259</v>
      </c>
      <c r="B2" s="92" t="s">
        <v>255</v>
      </c>
      <c r="C2" s="92" t="s">
        <v>256</v>
      </c>
      <c r="D2" s="92" t="s">
        <v>246</v>
      </c>
      <c r="E2" s="4" t="s">
        <v>257</v>
      </c>
      <c r="J2" s="4" t="s">
        <v>260</v>
      </c>
      <c r="K2" s="92">
        <v>1.8</v>
      </c>
      <c r="L2" s="92">
        <v>2.1</v>
      </c>
      <c r="M2" s="92">
        <v>2</v>
      </c>
      <c r="N2" s="103">
        <f t="shared" ref="N2:N12" si="0">(K2*L2*M2)*2</f>
        <v>15.120000000000001</v>
      </c>
      <c r="O2" s="4" t="s">
        <v>247</v>
      </c>
      <c r="P2" s="4" t="s">
        <v>263</v>
      </c>
    </row>
    <row r="3" spans="1:16" x14ac:dyDescent="0.25">
      <c r="A3" t="s">
        <v>252</v>
      </c>
      <c r="B3" s="92" t="s">
        <v>254</v>
      </c>
      <c r="D3" s="92">
        <v>5.7</v>
      </c>
      <c r="E3" s="4" t="s">
        <v>247</v>
      </c>
      <c r="J3" s="4" t="s">
        <v>264</v>
      </c>
      <c r="K3" s="92">
        <v>0.7</v>
      </c>
      <c r="L3" s="92">
        <v>0.7</v>
      </c>
      <c r="M3" s="92">
        <v>2</v>
      </c>
      <c r="N3" s="103">
        <f t="shared" si="0"/>
        <v>1.9599999999999997</v>
      </c>
      <c r="O3" s="4" t="s">
        <v>247</v>
      </c>
      <c r="P3" s="4" t="s">
        <v>263</v>
      </c>
    </row>
    <row r="4" spans="1:16" x14ac:dyDescent="0.25">
      <c r="A4" t="s">
        <v>253</v>
      </c>
      <c r="B4" s="92">
        <v>12.5</v>
      </c>
      <c r="C4" s="92">
        <v>0.3</v>
      </c>
      <c r="D4" s="92">
        <f>B4*C4</f>
        <v>3.75</v>
      </c>
      <c r="E4" s="4" t="s">
        <v>247</v>
      </c>
      <c r="J4" s="4" t="s">
        <v>268</v>
      </c>
      <c r="K4" s="92">
        <v>0.8</v>
      </c>
      <c r="L4" s="92">
        <v>2.1</v>
      </c>
      <c r="M4" s="92">
        <v>4</v>
      </c>
      <c r="N4" s="104">
        <f t="shared" si="0"/>
        <v>13.440000000000001</v>
      </c>
      <c r="O4" s="4" t="s">
        <v>247</v>
      </c>
      <c r="P4" s="4" t="s">
        <v>269</v>
      </c>
    </row>
    <row r="5" spans="1:16" x14ac:dyDescent="0.25">
      <c r="A5" t="s">
        <v>258</v>
      </c>
      <c r="B5" s="92">
        <v>11.9</v>
      </c>
      <c r="C5" s="92">
        <v>2.5499999999999998</v>
      </c>
      <c r="D5" s="92">
        <f>C5*B5</f>
        <v>30.344999999999999</v>
      </c>
      <c r="E5" s="4" t="s">
        <v>247</v>
      </c>
      <c r="J5" s="4" t="s">
        <v>272</v>
      </c>
      <c r="K5" s="92">
        <v>0.7</v>
      </c>
      <c r="L5" s="92">
        <v>0.7</v>
      </c>
      <c r="M5" s="92">
        <v>2</v>
      </c>
      <c r="N5" s="104">
        <f t="shared" si="0"/>
        <v>1.9599999999999997</v>
      </c>
      <c r="O5" s="4" t="s">
        <v>247</v>
      </c>
      <c r="P5" s="4" t="s">
        <v>269</v>
      </c>
    </row>
    <row r="6" spans="1:16" x14ac:dyDescent="0.25">
      <c r="J6" s="4" t="s">
        <v>275</v>
      </c>
      <c r="K6" s="92">
        <v>1</v>
      </c>
      <c r="L6" s="92">
        <v>0.6</v>
      </c>
      <c r="M6" s="92">
        <v>1</v>
      </c>
      <c r="N6" s="104">
        <f t="shared" si="0"/>
        <v>1.2</v>
      </c>
      <c r="O6" s="4" t="s">
        <v>247</v>
      </c>
      <c r="P6" s="4" t="s">
        <v>269</v>
      </c>
    </row>
    <row r="7" spans="1:16" x14ac:dyDescent="0.25">
      <c r="A7" s="9" t="s">
        <v>266</v>
      </c>
      <c r="D7" s="94">
        <f>D9+D10+D11</f>
        <v>86.720000000000013</v>
      </c>
      <c r="E7" s="95" t="s">
        <v>247</v>
      </c>
      <c r="F7" s="92"/>
      <c r="G7" s="92"/>
      <c r="J7" s="4" t="s">
        <v>274</v>
      </c>
      <c r="K7" s="92">
        <v>1.5</v>
      </c>
      <c r="L7" s="92">
        <v>2.1</v>
      </c>
      <c r="M7" s="92">
        <v>4</v>
      </c>
      <c r="N7" s="104">
        <f t="shared" si="0"/>
        <v>25.200000000000003</v>
      </c>
      <c r="O7" s="4" t="s">
        <v>247</v>
      </c>
      <c r="P7" s="4" t="s">
        <v>269</v>
      </c>
    </row>
    <row r="8" spans="1:16" x14ac:dyDescent="0.25">
      <c r="A8" t="s">
        <v>259</v>
      </c>
      <c r="B8" s="92" t="s">
        <v>255</v>
      </c>
      <c r="C8" s="92" t="s">
        <v>256</v>
      </c>
      <c r="D8" s="92" t="s">
        <v>246</v>
      </c>
      <c r="E8" s="4" t="s">
        <v>257</v>
      </c>
      <c r="F8" s="4"/>
      <c r="G8" s="4"/>
      <c r="J8" s="4" t="s">
        <v>278</v>
      </c>
      <c r="K8" s="92">
        <v>2</v>
      </c>
      <c r="L8" s="92">
        <v>0.6</v>
      </c>
      <c r="M8" s="92">
        <f>6+4</f>
        <v>10</v>
      </c>
      <c r="N8" s="104">
        <f t="shared" si="0"/>
        <v>24</v>
      </c>
      <c r="O8" s="4" t="s">
        <v>247</v>
      </c>
      <c r="P8" s="4" t="s">
        <v>269</v>
      </c>
    </row>
    <row r="9" spans="1:16" x14ac:dyDescent="0.25">
      <c r="A9" t="s">
        <v>267</v>
      </c>
      <c r="B9" s="92" t="s">
        <v>254</v>
      </c>
      <c r="D9" s="92">
        <v>85.18</v>
      </c>
      <c r="E9" s="4" t="s">
        <v>247</v>
      </c>
      <c r="J9" s="4" t="s">
        <v>304</v>
      </c>
      <c r="K9" s="92">
        <v>0.7</v>
      </c>
      <c r="L9" s="92">
        <v>1.9</v>
      </c>
      <c r="M9" s="92">
        <v>1</v>
      </c>
      <c r="N9" s="104">
        <f t="shared" si="0"/>
        <v>2.6599999999999997</v>
      </c>
      <c r="O9" s="4" t="s">
        <v>247</v>
      </c>
      <c r="P9" s="4" t="s">
        <v>305</v>
      </c>
    </row>
    <row r="10" spans="1:16" x14ac:dyDescent="0.25">
      <c r="A10" t="s">
        <v>252</v>
      </c>
      <c r="B10" s="92" t="s">
        <v>254</v>
      </c>
      <c r="D10" s="92">
        <v>0.7</v>
      </c>
      <c r="E10" s="4" t="s">
        <v>247</v>
      </c>
      <c r="J10" s="4" t="s">
        <v>306</v>
      </c>
      <c r="K10" s="92">
        <v>2.5</v>
      </c>
      <c r="L10" s="92">
        <v>1</v>
      </c>
      <c r="M10" s="92">
        <v>1</v>
      </c>
      <c r="N10" s="104">
        <f t="shared" si="0"/>
        <v>5</v>
      </c>
      <c r="O10" s="4" t="s">
        <v>247</v>
      </c>
      <c r="P10" s="4" t="s">
        <v>307</v>
      </c>
    </row>
    <row r="11" spans="1:16" x14ac:dyDescent="0.25">
      <c r="A11" t="s">
        <v>253</v>
      </c>
      <c r="B11" s="92">
        <v>2.8</v>
      </c>
      <c r="C11" s="92">
        <v>0.3</v>
      </c>
      <c r="D11" s="92">
        <f>B11*C11</f>
        <v>0.84</v>
      </c>
      <c r="E11" s="4" t="s">
        <v>247</v>
      </c>
      <c r="J11" s="4" t="s">
        <v>314</v>
      </c>
      <c r="K11" s="92">
        <v>1.7</v>
      </c>
      <c r="L11" s="92">
        <v>2</v>
      </c>
      <c r="M11" s="92">
        <v>1</v>
      </c>
      <c r="N11" s="104">
        <f t="shared" si="0"/>
        <v>6.8</v>
      </c>
      <c r="O11" s="4" t="s">
        <v>247</v>
      </c>
      <c r="P11" s="4" t="s">
        <v>305</v>
      </c>
    </row>
    <row r="12" spans="1:16" x14ac:dyDescent="0.25">
      <c r="J12" s="4" t="s">
        <v>684</v>
      </c>
      <c r="K12" s="92">
        <v>0.8</v>
      </c>
      <c r="L12" s="92">
        <v>2.1</v>
      </c>
      <c r="M12" s="92">
        <v>2</v>
      </c>
      <c r="N12" s="103">
        <f t="shared" si="0"/>
        <v>6.7200000000000006</v>
      </c>
      <c r="O12" s="4" t="s">
        <v>247</v>
      </c>
      <c r="P12" s="4" t="s">
        <v>263</v>
      </c>
    </row>
    <row r="13" spans="1:16" x14ac:dyDescent="0.25">
      <c r="A13" s="9" t="s">
        <v>270</v>
      </c>
      <c r="D13" s="94">
        <f>D15+D16+D17</f>
        <v>8.6549999999999994</v>
      </c>
      <c r="E13" s="95" t="s">
        <v>247</v>
      </c>
      <c r="J13" s="4" t="s">
        <v>316</v>
      </c>
      <c r="K13" s="92">
        <v>1.2</v>
      </c>
      <c r="L13" s="92">
        <v>2.1</v>
      </c>
      <c r="M13" s="92">
        <v>3</v>
      </c>
      <c r="N13" s="104">
        <f t="shared" ref="N13:N14" si="1">(K13*L13*M13)*2</f>
        <v>15.120000000000001</v>
      </c>
      <c r="O13" s="4" t="s">
        <v>247</v>
      </c>
      <c r="P13" s="4" t="s">
        <v>269</v>
      </c>
    </row>
    <row r="14" spans="1:16" x14ac:dyDescent="0.25">
      <c r="A14" t="s">
        <v>259</v>
      </c>
      <c r="B14" s="92" t="s">
        <v>255</v>
      </c>
      <c r="C14" s="92" t="s">
        <v>256</v>
      </c>
      <c r="D14" s="92" t="s">
        <v>246</v>
      </c>
      <c r="E14" s="4" t="s">
        <v>257</v>
      </c>
      <c r="J14" s="4" t="s">
        <v>319</v>
      </c>
      <c r="K14" s="92">
        <v>1.5</v>
      </c>
      <c r="L14" s="92">
        <v>1</v>
      </c>
      <c r="M14" s="92">
        <v>1</v>
      </c>
      <c r="N14" s="104">
        <f t="shared" si="1"/>
        <v>3</v>
      </c>
      <c r="O14" s="4" t="s">
        <v>247</v>
      </c>
      <c r="P14" s="4" t="s">
        <v>269</v>
      </c>
    </row>
    <row r="15" spans="1:16" x14ac:dyDescent="0.25">
      <c r="A15" t="s">
        <v>267</v>
      </c>
      <c r="B15" s="92">
        <v>1.9</v>
      </c>
      <c r="C15" s="92">
        <v>3.05</v>
      </c>
      <c r="D15" s="92">
        <f>C15*B15</f>
        <v>5.794999999999999</v>
      </c>
      <c r="E15" s="4" t="s">
        <v>247</v>
      </c>
      <c r="J15" s="4" t="s">
        <v>641</v>
      </c>
      <c r="K15" s="92">
        <v>0.5</v>
      </c>
      <c r="L15" s="92">
        <v>3.7</v>
      </c>
      <c r="M15" s="92">
        <v>2</v>
      </c>
      <c r="N15" s="104">
        <f>K15*L15*2</f>
        <v>3.7</v>
      </c>
      <c r="O15" s="4" t="s">
        <v>247</v>
      </c>
    </row>
    <row r="16" spans="1:16" x14ac:dyDescent="0.25">
      <c r="A16" t="s">
        <v>252</v>
      </c>
      <c r="B16" s="92">
        <v>2.2000000000000002</v>
      </c>
      <c r="C16" s="92">
        <v>0.7</v>
      </c>
      <c r="D16" s="92">
        <f>B16*C16</f>
        <v>1.54</v>
      </c>
      <c r="E16" s="4" t="s">
        <v>247</v>
      </c>
    </row>
    <row r="17" spans="1:14" x14ac:dyDescent="0.25">
      <c r="A17" t="s">
        <v>253</v>
      </c>
      <c r="B17" s="92">
        <v>2.2000000000000002</v>
      </c>
      <c r="C17" s="92">
        <v>0.6</v>
      </c>
      <c r="D17" s="92">
        <f>B17*C17</f>
        <v>1.32</v>
      </c>
      <c r="E17" s="4" t="s">
        <v>247</v>
      </c>
      <c r="J17" s="105" t="s">
        <v>325</v>
      </c>
      <c r="K17" s="106"/>
      <c r="L17" s="106"/>
      <c r="M17" s="106">
        <f>N2+N3+N12</f>
        <v>23.800000000000004</v>
      </c>
      <c r="N17" s="107" t="s">
        <v>16</v>
      </c>
    </row>
    <row r="18" spans="1:14" x14ac:dyDescent="0.25">
      <c r="J18" s="108" t="s">
        <v>326</v>
      </c>
      <c r="K18" s="109"/>
      <c r="L18" s="109"/>
      <c r="M18" s="109">
        <f>N4+N5+N6+N7+N8+N9+N10+N11+N13+N14+N15</f>
        <v>102.08000000000001</v>
      </c>
      <c r="N18" s="110" t="s">
        <v>16</v>
      </c>
    </row>
    <row r="19" spans="1:14" x14ac:dyDescent="0.25">
      <c r="A19" s="9" t="s">
        <v>271</v>
      </c>
      <c r="D19" s="94">
        <f>SUM(D21:D23)</f>
        <v>11.31</v>
      </c>
      <c r="E19" s="95" t="s">
        <v>247</v>
      </c>
    </row>
    <row r="20" spans="1:14" x14ac:dyDescent="0.25">
      <c r="A20" t="s">
        <v>259</v>
      </c>
      <c r="B20" s="92" t="s">
        <v>255</v>
      </c>
      <c r="C20" s="92" t="s">
        <v>256</v>
      </c>
      <c r="D20" s="92" t="s">
        <v>246</v>
      </c>
      <c r="E20" s="4" t="s">
        <v>257</v>
      </c>
    </row>
    <row r="21" spans="1:14" x14ac:dyDescent="0.25">
      <c r="A21" t="s">
        <v>267</v>
      </c>
      <c r="B21" s="92">
        <v>2.6</v>
      </c>
      <c r="C21" s="92">
        <v>3.05</v>
      </c>
      <c r="D21" s="92">
        <f>C21*B21</f>
        <v>7.93</v>
      </c>
      <c r="E21" s="4" t="s">
        <v>247</v>
      </c>
    </row>
    <row r="22" spans="1:14" x14ac:dyDescent="0.25">
      <c r="A22" t="s">
        <v>252</v>
      </c>
      <c r="B22" s="92">
        <v>2.6</v>
      </c>
      <c r="C22" s="92">
        <v>0.7</v>
      </c>
      <c r="D22" s="92">
        <f>B22*C22</f>
        <v>1.8199999999999998</v>
      </c>
      <c r="E22" s="4" t="s">
        <v>247</v>
      </c>
    </row>
    <row r="23" spans="1:14" x14ac:dyDescent="0.25">
      <c r="A23" t="s">
        <v>253</v>
      </c>
      <c r="B23" s="92">
        <v>2.6</v>
      </c>
      <c r="C23" s="92">
        <v>0.6</v>
      </c>
      <c r="D23" s="92">
        <f>B23*C23</f>
        <v>1.56</v>
      </c>
      <c r="E23" s="4" t="s">
        <v>247</v>
      </c>
    </row>
    <row r="25" spans="1:14" x14ac:dyDescent="0.25">
      <c r="A25" s="9" t="s">
        <v>273</v>
      </c>
      <c r="D25" s="94">
        <f>SUM(D27:D29)</f>
        <v>16.747499999999999</v>
      </c>
      <c r="E25" s="95" t="s">
        <v>247</v>
      </c>
    </row>
    <row r="26" spans="1:14" x14ac:dyDescent="0.25">
      <c r="A26" t="s">
        <v>259</v>
      </c>
      <c r="B26" s="92" t="s">
        <v>255</v>
      </c>
      <c r="C26" s="92" t="s">
        <v>256</v>
      </c>
      <c r="D26" s="92" t="s">
        <v>246</v>
      </c>
      <c r="E26" s="4" t="s">
        <v>257</v>
      </c>
    </row>
    <row r="27" spans="1:14" x14ac:dyDescent="0.25">
      <c r="A27" t="s">
        <v>267</v>
      </c>
      <c r="B27" s="92">
        <v>3.85</v>
      </c>
      <c r="C27" s="92">
        <v>3.05</v>
      </c>
      <c r="D27" s="92">
        <f>C27*B27</f>
        <v>11.7425</v>
      </c>
      <c r="E27" s="4" t="s">
        <v>247</v>
      </c>
    </row>
    <row r="28" spans="1:14" x14ac:dyDescent="0.25">
      <c r="A28" t="s">
        <v>252</v>
      </c>
      <c r="B28" s="92">
        <v>3.85</v>
      </c>
      <c r="C28" s="92">
        <v>0.7</v>
      </c>
      <c r="D28" s="92">
        <f>B28*C28</f>
        <v>2.6949999999999998</v>
      </c>
      <c r="E28" s="4" t="s">
        <v>247</v>
      </c>
    </row>
    <row r="29" spans="1:14" x14ac:dyDescent="0.25">
      <c r="A29" t="s">
        <v>253</v>
      </c>
      <c r="B29" s="92">
        <v>3.85</v>
      </c>
      <c r="C29" s="92">
        <v>0.6</v>
      </c>
      <c r="D29" s="92">
        <f>B29*C29</f>
        <v>2.31</v>
      </c>
      <c r="E29" s="4" t="s">
        <v>247</v>
      </c>
    </row>
    <row r="31" spans="1:14" x14ac:dyDescent="0.25">
      <c r="A31" s="9" t="s">
        <v>276</v>
      </c>
      <c r="D31" s="94">
        <f>SUM(D33:D35)</f>
        <v>25.68</v>
      </c>
      <c r="E31" s="95" t="s">
        <v>247</v>
      </c>
    </row>
    <row r="32" spans="1:14" x14ac:dyDescent="0.25">
      <c r="A32" t="s">
        <v>259</v>
      </c>
      <c r="B32" s="92" t="s">
        <v>255</v>
      </c>
      <c r="C32" s="92" t="s">
        <v>256</v>
      </c>
      <c r="D32" s="92" t="s">
        <v>246</v>
      </c>
      <c r="E32" s="4" t="s">
        <v>257</v>
      </c>
    </row>
    <row r="33" spans="1:6" x14ac:dyDescent="0.25">
      <c r="A33" t="s">
        <v>267</v>
      </c>
      <c r="B33" s="92" t="s">
        <v>254</v>
      </c>
      <c r="D33" s="92">
        <v>21</v>
      </c>
      <c r="E33" s="4" t="s">
        <v>247</v>
      </c>
    </row>
    <row r="34" spans="1:6" x14ac:dyDescent="0.25">
      <c r="A34" t="s">
        <v>252</v>
      </c>
      <c r="B34" s="92">
        <v>3.6</v>
      </c>
      <c r="C34" s="92">
        <v>0.7</v>
      </c>
      <c r="D34" s="92">
        <f>B34*C34</f>
        <v>2.52</v>
      </c>
      <c r="E34" s="4" t="s">
        <v>247</v>
      </c>
    </row>
    <row r="35" spans="1:6" x14ac:dyDescent="0.25">
      <c r="A35" t="s">
        <v>253</v>
      </c>
      <c r="B35" s="92">
        <v>3.6</v>
      </c>
      <c r="C35" s="92">
        <v>0.6</v>
      </c>
      <c r="D35" s="92">
        <f>B35*C35</f>
        <v>2.16</v>
      </c>
      <c r="E35" s="4" t="s">
        <v>247</v>
      </c>
    </row>
    <row r="37" spans="1:6" x14ac:dyDescent="0.25">
      <c r="A37" s="9" t="s">
        <v>277</v>
      </c>
      <c r="D37" s="94">
        <f>SUM(D39)</f>
        <v>39.330000000000005</v>
      </c>
      <c r="E37" s="95" t="s">
        <v>247</v>
      </c>
    </row>
    <row r="38" spans="1:6" x14ac:dyDescent="0.25">
      <c r="A38" t="s">
        <v>259</v>
      </c>
      <c r="B38" s="92" t="s">
        <v>255</v>
      </c>
      <c r="C38" s="92" t="s">
        <v>256</v>
      </c>
      <c r="D38" s="92" t="s">
        <v>246</v>
      </c>
      <c r="E38" s="4" t="s">
        <v>257</v>
      </c>
    </row>
    <row r="39" spans="1:6" x14ac:dyDescent="0.25">
      <c r="A39" t="s">
        <v>267</v>
      </c>
      <c r="B39" s="92">
        <v>6.9</v>
      </c>
      <c r="C39" s="92">
        <v>5.7</v>
      </c>
      <c r="D39" s="92">
        <f>C39*B39</f>
        <v>39.330000000000005</v>
      </c>
      <c r="E39" s="4" t="s">
        <v>247</v>
      </c>
    </row>
    <row r="41" spans="1:6" x14ac:dyDescent="0.25">
      <c r="A41" s="9" t="s">
        <v>279</v>
      </c>
      <c r="E41" s="94">
        <f>E43+E44+E45+E46+E49+E50+E51+E52+E55+E56+E57+E59+E58+E60+E61+E62+D66</f>
        <v>285.92</v>
      </c>
      <c r="F41" s="95" t="s">
        <v>247</v>
      </c>
    </row>
    <row r="42" spans="1:6" x14ac:dyDescent="0.25">
      <c r="A42" t="s">
        <v>259</v>
      </c>
      <c r="B42" s="92" t="s">
        <v>255</v>
      </c>
      <c r="C42" s="92" t="s">
        <v>256</v>
      </c>
      <c r="D42" s="92" t="s">
        <v>261</v>
      </c>
      <c r="E42" s="4" t="s">
        <v>246</v>
      </c>
      <c r="F42" s="92" t="s">
        <v>257</v>
      </c>
    </row>
    <row r="43" spans="1:6" x14ac:dyDescent="0.25">
      <c r="A43" t="s">
        <v>280</v>
      </c>
      <c r="B43" s="92">
        <v>0.25</v>
      </c>
      <c r="C43" s="92">
        <v>5.7</v>
      </c>
      <c r="D43" s="92">
        <v>2</v>
      </c>
      <c r="E43" s="4">
        <f>D43*C43*B43</f>
        <v>2.85</v>
      </c>
      <c r="F43" s="4" t="s">
        <v>247</v>
      </c>
    </row>
    <row r="44" spans="1:6" x14ac:dyDescent="0.25">
      <c r="A44" t="s">
        <v>281</v>
      </c>
      <c r="B44" s="92">
        <v>0.25</v>
      </c>
      <c r="C44" s="92">
        <v>10</v>
      </c>
      <c r="D44" s="92">
        <v>2</v>
      </c>
      <c r="E44" s="4">
        <f t="shared" ref="E44:E46" si="2">D44*C44*B44</f>
        <v>5</v>
      </c>
      <c r="F44" s="4" t="s">
        <v>247</v>
      </c>
    </row>
    <row r="45" spans="1:6" x14ac:dyDescent="0.25">
      <c r="A45" t="s">
        <v>282</v>
      </c>
      <c r="B45" s="92">
        <v>0.25</v>
      </c>
      <c r="C45" s="92">
        <v>12</v>
      </c>
      <c r="D45" s="92">
        <v>2</v>
      </c>
      <c r="E45" s="4">
        <f t="shared" si="2"/>
        <v>6</v>
      </c>
      <c r="F45" s="4" t="s">
        <v>247</v>
      </c>
    </row>
    <row r="46" spans="1:6" x14ac:dyDescent="0.25">
      <c r="A46" t="s">
        <v>283</v>
      </c>
      <c r="B46" s="92">
        <v>0.25</v>
      </c>
      <c r="C46" s="92">
        <v>12.6</v>
      </c>
      <c r="D46" s="92">
        <v>1</v>
      </c>
      <c r="E46" s="4">
        <f t="shared" si="2"/>
        <v>3.15</v>
      </c>
      <c r="F46" s="4" t="s">
        <v>247</v>
      </c>
    </row>
    <row r="48" spans="1:6" x14ac:dyDescent="0.25">
      <c r="A48" t="s">
        <v>259</v>
      </c>
      <c r="B48" s="92" t="s">
        <v>255</v>
      </c>
      <c r="C48" s="92" t="s">
        <v>256</v>
      </c>
      <c r="D48" s="92" t="s">
        <v>261</v>
      </c>
      <c r="E48" s="4" t="s">
        <v>246</v>
      </c>
      <c r="F48" s="92" t="s">
        <v>257</v>
      </c>
    </row>
    <row r="49" spans="1:6" x14ac:dyDescent="0.25">
      <c r="A49" t="s">
        <v>284</v>
      </c>
      <c r="B49" s="92">
        <v>0.4</v>
      </c>
      <c r="C49" s="92">
        <v>5.7</v>
      </c>
      <c r="D49" s="92">
        <v>4</v>
      </c>
      <c r="E49" s="4">
        <f>D49*C49*B49</f>
        <v>9.120000000000001</v>
      </c>
      <c r="F49" s="4" t="s">
        <v>247</v>
      </c>
    </row>
    <row r="50" spans="1:6" x14ac:dyDescent="0.25">
      <c r="A50" t="s">
        <v>285</v>
      </c>
      <c r="B50" s="92">
        <v>0.4</v>
      </c>
      <c r="C50" s="92">
        <v>10</v>
      </c>
      <c r="D50" s="92">
        <v>4</v>
      </c>
      <c r="E50" s="4">
        <f t="shared" ref="E50:E52" si="3">D50*C50*B50</f>
        <v>16</v>
      </c>
      <c r="F50" s="4" t="s">
        <v>247</v>
      </c>
    </row>
    <row r="51" spans="1:6" x14ac:dyDescent="0.25">
      <c r="A51" t="s">
        <v>286</v>
      </c>
      <c r="B51" s="92">
        <v>0.4</v>
      </c>
      <c r="C51" s="92">
        <v>12</v>
      </c>
      <c r="D51" s="92">
        <v>4</v>
      </c>
      <c r="E51" s="4">
        <f t="shared" si="3"/>
        <v>19.200000000000003</v>
      </c>
      <c r="F51" s="4" t="s">
        <v>247</v>
      </c>
    </row>
    <row r="52" spans="1:6" x14ac:dyDescent="0.25">
      <c r="A52" t="s">
        <v>287</v>
      </c>
      <c r="B52" s="92">
        <v>0.4</v>
      </c>
      <c r="C52" s="92">
        <v>12.6</v>
      </c>
      <c r="D52" s="92">
        <v>2</v>
      </c>
      <c r="E52" s="4">
        <f t="shared" si="3"/>
        <v>10.08</v>
      </c>
      <c r="F52" s="4" t="s">
        <v>247</v>
      </c>
    </row>
    <row r="54" spans="1:6" x14ac:dyDescent="0.25">
      <c r="A54" t="s">
        <v>259</v>
      </c>
      <c r="B54" s="92" t="s">
        <v>255</v>
      </c>
      <c r="C54" s="92" t="s">
        <v>256</v>
      </c>
      <c r="D54" s="92" t="s">
        <v>261</v>
      </c>
      <c r="E54" s="4" t="s">
        <v>246</v>
      </c>
      <c r="F54" s="92" t="s">
        <v>257</v>
      </c>
    </row>
    <row r="55" spans="1:6" x14ac:dyDescent="0.25">
      <c r="A55" t="s">
        <v>288</v>
      </c>
      <c r="B55" s="92">
        <v>29.1</v>
      </c>
      <c r="C55" s="92">
        <v>0.3</v>
      </c>
      <c r="D55" s="92">
        <v>1</v>
      </c>
      <c r="E55" s="4">
        <f t="shared" ref="E55:E62" si="4">D55*C55*B55</f>
        <v>8.73</v>
      </c>
      <c r="F55" s="4" t="s">
        <v>247</v>
      </c>
    </row>
    <row r="56" spans="1:6" x14ac:dyDescent="0.25">
      <c r="A56" t="s">
        <v>289</v>
      </c>
      <c r="B56" s="92">
        <v>29.1</v>
      </c>
      <c r="C56" s="92">
        <v>0.2</v>
      </c>
      <c r="D56" s="92">
        <v>2</v>
      </c>
      <c r="E56" s="4">
        <f t="shared" si="4"/>
        <v>11.64</v>
      </c>
      <c r="F56" s="4" t="s">
        <v>247</v>
      </c>
    </row>
    <row r="57" spans="1:6" x14ac:dyDescent="0.25">
      <c r="A57" t="s">
        <v>290</v>
      </c>
      <c r="B57" s="92">
        <v>26.6</v>
      </c>
      <c r="C57" s="92">
        <v>0.3</v>
      </c>
      <c r="D57" s="92">
        <v>1</v>
      </c>
      <c r="E57" s="4">
        <f t="shared" si="4"/>
        <v>7.98</v>
      </c>
      <c r="F57" s="4" t="s">
        <v>247</v>
      </c>
    </row>
    <row r="58" spans="1:6" x14ac:dyDescent="0.25">
      <c r="A58" t="s">
        <v>291</v>
      </c>
      <c r="B58" s="92">
        <v>26.6</v>
      </c>
      <c r="C58" s="92">
        <v>0.2</v>
      </c>
      <c r="D58" s="92">
        <v>2</v>
      </c>
      <c r="E58" s="4">
        <f t="shared" si="4"/>
        <v>10.64</v>
      </c>
      <c r="F58" s="4" t="s">
        <v>247</v>
      </c>
    </row>
    <row r="59" spans="1:6" x14ac:dyDescent="0.25">
      <c r="A59" t="s">
        <v>292</v>
      </c>
      <c r="B59" s="92">
        <v>19.399999999999999</v>
      </c>
      <c r="C59" s="92">
        <v>0.3</v>
      </c>
      <c r="D59" s="92">
        <v>1</v>
      </c>
      <c r="E59" s="4">
        <f t="shared" si="4"/>
        <v>5.8199999999999994</v>
      </c>
      <c r="F59" s="4" t="s">
        <v>247</v>
      </c>
    </row>
    <row r="60" spans="1:6" x14ac:dyDescent="0.25">
      <c r="A60" t="s">
        <v>293</v>
      </c>
      <c r="B60" s="92">
        <v>19.399999999999999</v>
      </c>
      <c r="C60" s="92">
        <v>0.2</v>
      </c>
      <c r="D60" s="92">
        <v>2</v>
      </c>
      <c r="E60" s="4">
        <f t="shared" si="4"/>
        <v>7.76</v>
      </c>
      <c r="F60" s="4" t="s">
        <v>247</v>
      </c>
    </row>
    <row r="61" spans="1:6" x14ac:dyDescent="0.25">
      <c r="A61" t="s">
        <v>294</v>
      </c>
      <c r="B61" s="92">
        <v>34.5</v>
      </c>
      <c r="C61" s="92">
        <v>0.3</v>
      </c>
      <c r="D61" s="92">
        <v>1</v>
      </c>
      <c r="E61" s="4">
        <f t="shared" si="4"/>
        <v>10.35</v>
      </c>
      <c r="F61" s="4" t="s">
        <v>247</v>
      </c>
    </row>
    <row r="62" spans="1:6" x14ac:dyDescent="0.25">
      <c r="A62" t="s">
        <v>295</v>
      </c>
      <c r="B62" s="92">
        <v>34.5</v>
      </c>
      <c r="C62" s="92">
        <v>0.2</v>
      </c>
      <c r="D62" s="92">
        <v>1</v>
      </c>
      <c r="E62" s="4">
        <f t="shared" si="4"/>
        <v>6.9</v>
      </c>
      <c r="F62" s="4" t="s">
        <v>247</v>
      </c>
    </row>
    <row r="64" spans="1:6" x14ac:dyDescent="0.25">
      <c r="A64" t="s">
        <v>259</v>
      </c>
      <c r="B64" s="92" t="s">
        <v>255</v>
      </c>
      <c r="C64" s="92" t="s">
        <v>256</v>
      </c>
      <c r="D64" s="4" t="s">
        <v>246</v>
      </c>
      <c r="E64" s="92" t="s">
        <v>257</v>
      </c>
      <c r="F64" s="92"/>
    </row>
    <row r="65" spans="1:6" x14ac:dyDescent="0.25">
      <c r="A65" t="s">
        <v>296</v>
      </c>
      <c r="B65" s="92" t="s">
        <v>254</v>
      </c>
      <c r="D65" s="96">
        <v>103.55</v>
      </c>
      <c r="E65" s="96" t="s">
        <v>247</v>
      </c>
      <c r="F65" s="4"/>
    </row>
    <row r="66" spans="1:6" x14ac:dyDescent="0.25">
      <c r="A66" t="s">
        <v>297</v>
      </c>
      <c r="B66" s="92" t="s">
        <v>254</v>
      </c>
      <c r="D66" s="92">
        <v>144.69999999999999</v>
      </c>
      <c r="E66" s="4" t="s">
        <v>247</v>
      </c>
    </row>
    <row r="68" spans="1:6" x14ac:dyDescent="0.25">
      <c r="A68" s="9" t="s">
        <v>298</v>
      </c>
      <c r="D68" s="94">
        <f>SUM(D70)</f>
        <v>39.330000000000005</v>
      </c>
      <c r="E68" s="95" t="s">
        <v>247</v>
      </c>
    </row>
    <row r="69" spans="1:6" x14ac:dyDescent="0.25">
      <c r="A69" t="s">
        <v>259</v>
      </c>
      <c r="B69" s="92" t="s">
        <v>255</v>
      </c>
      <c r="C69" s="92" t="s">
        <v>256</v>
      </c>
      <c r="D69" s="92" t="s">
        <v>246</v>
      </c>
      <c r="E69" s="4" t="s">
        <v>257</v>
      </c>
    </row>
    <row r="70" spans="1:6" x14ac:dyDescent="0.25">
      <c r="A70" t="s">
        <v>267</v>
      </c>
      <c r="B70" s="92">
        <v>6.9</v>
      </c>
      <c r="C70" s="92">
        <v>5.7</v>
      </c>
      <c r="D70" s="92">
        <f>C70*B70</f>
        <v>39.330000000000005</v>
      </c>
      <c r="E70" s="4" t="s">
        <v>247</v>
      </c>
    </row>
    <row r="72" spans="1:6" x14ac:dyDescent="0.25">
      <c r="A72" s="9" t="s">
        <v>299</v>
      </c>
      <c r="D72" s="94">
        <f>SUM(D74)</f>
        <v>23.35</v>
      </c>
      <c r="E72" s="95" t="s">
        <v>247</v>
      </c>
    </row>
    <row r="73" spans="1:6" x14ac:dyDescent="0.25">
      <c r="A73" t="s">
        <v>259</v>
      </c>
      <c r="B73" s="92" t="s">
        <v>255</v>
      </c>
      <c r="C73" s="92" t="s">
        <v>256</v>
      </c>
      <c r="D73" s="92" t="s">
        <v>246</v>
      </c>
      <c r="E73" s="4" t="s">
        <v>257</v>
      </c>
    </row>
    <row r="74" spans="1:6" x14ac:dyDescent="0.25">
      <c r="A74" t="s">
        <v>267</v>
      </c>
      <c r="B74" s="92" t="s">
        <v>254</v>
      </c>
      <c r="D74" s="92">
        <v>23.35</v>
      </c>
      <c r="E74" s="4" t="s">
        <v>247</v>
      </c>
    </row>
    <row r="76" spans="1:6" x14ac:dyDescent="0.25">
      <c r="A76" s="9" t="s">
        <v>300</v>
      </c>
      <c r="D76" s="94">
        <f>SUM(D78)</f>
        <v>18.445</v>
      </c>
      <c r="E76" s="95" t="s">
        <v>247</v>
      </c>
    </row>
    <row r="77" spans="1:6" x14ac:dyDescent="0.25">
      <c r="A77" t="s">
        <v>259</v>
      </c>
      <c r="B77" s="92" t="s">
        <v>255</v>
      </c>
      <c r="C77" s="92" t="s">
        <v>256</v>
      </c>
      <c r="D77" s="92" t="s">
        <v>246</v>
      </c>
      <c r="E77" s="4" t="s">
        <v>257</v>
      </c>
    </row>
    <row r="78" spans="1:6" x14ac:dyDescent="0.25">
      <c r="A78" t="s">
        <v>267</v>
      </c>
      <c r="B78" s="92">
        <v>5.95</v>
      </c>
      <c r="C78" s="92">
        <v>3.1</v>
      </c>
      <c r="D78" s="92">
        <f>C78*B78</f>
        <v>18.445</v>
      </c>
      <c r="E78" s="4" t="s">
        <v>247</v>
      </c>
    </row>
    <row r="80" spans="1:6" x14ac:dyDescent="0.25">
      <c r="A80" s="9" t="s">
        <v>301</v>
      </c>
      <c r="D80" s="94">
        <f>SUM(D82)</f>
        <v>11.5</v>
      </c>
      <c r="E80" s="95" t="s">
        <v>247</v>
      </c>
    </row>
    <row r="81" spans="1:5" x14ac:dyDescent="0.25">
      <c r="A81" t="s">
        <v>259</v>
      </c>
      <c r="B81" s="92" t="s">
        <v>255</v>
      </c>
      <c r="C81" s="92" t="s">
        <v>256</v>
      </c>
      <c r="D81" s="92" t="s">
        <v>246</v>
      </c>
      <c r="E81" s="4" t="s">
        <v>257</v>
      </c>
    </row>
    <row r="82" spans="1:5" x14ac:dyDescent="0.25">
      <c r="A82" t="s">
        <v>267</v>
      </c>
      <c r="B82" s="92">
        <v>4.5999999999999996</v>
      </c>
      <c r="C82" s="92">
        <f>(3.1+1.9)/2</f>
        <v>2.5</v>
      </c>
      <c r="D82" s="92">
        <f>C82*B82</f>
        <v>11.5</v>
      </c>
      <c r="E82" s="4" t="s">
        <v>247</v>
      </c>
    </row>
    <row r="84" spans="1:5" x14ac:dyDescent="0.25">
      <c r="A84" s="9" t="s">
        <v>302</v>
      </c>
      <c r="D84" s="94">
        <f>SUM(D86)</f>
        <v>8.7399999999999984</v>
      </c>
      <c r="E84" s="95" t="s">
        <v>247</v>
      </c>
    </row>
    <row r="85" spans="1:5" x14ac:dyDescent="0.25">
      <c r="A85" t="s">
        <v>259</v>
      </c>
      <c r="B85" s="92" t="s">
        <v>255</v>
      </c>
      <c r="C85" s="92" t="s">
        <v>256</v>
      </c>
      <c r="D85" s="92" t="s">
        <v>246</v>
      </c>
      <c r="E85" s="4" t="s">
        <v>257</v>
      </c>
    </row>
    <row r="86" spans="1:5" x14ac:dyDescent="0.25">
      <c r="A86" t="s">
        <v>267</v>
      </c>
      <c r="B86" s="92">
        <v>4.5999999999999996</v>
      </c>
      <c r="C86" s="92">
        <v>1.9</v>
      </c>
      <c r="D86" s="92">
        <f>C86*B86</f>
        <v>8.7399999999999984</v>
      </c>
      <c r="E86" s="4" t="s">
        <v>247</v>
      </c>
    </row>
    <row r="88" spans="1:5" x14ac:dyDescent="0.25">
      <c r="A88" s="9" t="s">
        <v>303</v>
      </c>
      <c r="D88" s="94">
        <f>SUM(D90)</f>
        <v>32.299999999999997</v>
      </c>
      <c r="E88" s="95" t="s">
        <v>247</v>
      </c>
    </row>
    <row r="89" spans="1:5" x14ac:dyDescent="0.25">
      <c r="A89" t="s">
        <v>259</v>
      </c>
      <c r="B89" s="92" t="s">
        <v>255</v>
      </c>
      <c r="C89" s="92" t="s">
        <v>256</v>
      </c>
      <c r="D89" s="92" t="s">
        <v>246</v>
      </c>
      <c r="E89" s="4" t="s">
        <v>257</v>
      </c>
    </row>
    <row r="90" spans="1:5" x14ac:dyDescent="0.25">
      <c r="A90" t="s">
        <v>267</v>
      </c>
      <c r="B90" s="92">
        <v>17</v>
      </c>
      <c r="C90" s="92">
        <v>1.9</v>
      </c>
      <c r="D90" s="92">
        <f>C90*B90</f>
        <v>32.299999999999997</v>
      </c>
      <c r="E90" s="4" t="s">
        <v>247</v>
      </c>
    </row>
    <row r="92" spans="1:5" x14ac:dyDescent="0.25">
      <c r="A92" s="9" t="s">
        <v>308</v>
      </c>
      <c r="D92" s="94">
        <f>SUM(D94)</f>
        <v>12.360000000000001</v>
      </c>
      <c r="E92" s="95" t="s">
        <v>247</v>
      </c>
    </row>
    <row r="93" spans="1:5" x14ac:dyDescent="0.25">
      <c r="A93" t="s">
        <v>259</v>
      </c>
      <c r="B93" s="92" t="s">
        <v>255</v>
      </c>
      <c r="C93" s="92" t="s">
        <v>256</v>
      </c>
      <c r="D93" s="92" t="s">
        <v>246</v>
      </c>
      <c r="E93" s="4" t="s">
        <v>257</v>
      </c>
    </row>
    <row r="94" spans="1:5" x14ac:dyDescent="0.25">
      <c r="A94" t="s">
        <v>267</v>
      </c>
      <c r="B94" s="92">
        <v>4.8</v>
      </c>
      <c r="C94" s="92">
        <f>(3.2+1.95)/2</f>
        <v>2.5750000000000002</v>
      </c>
      <c r="D94" s="92">
        <f>C94*B94</f>
        <v>12.360000000000001</v>
      </c>
      <c r="E94" s="4" t="s">
        <v>247</v>
      </c>
    </row>
    <row r="96" spans="1:5" x14ac:dyDescent="0.25">
      <c r="A96" s="9" t="s">
        <v>309</v>
      </c>
      <c r="D96" s="94">
        <f>SUM(D98)</f>
        <v>16.64</v>
      </c>
      <c r="E96" s="95" t="s">
        <v>247</v>
      </c>
    </row>
    <row r="97" spans="1:5" x14ac:dyDescent="0.25">
      <c r="A97" t="s">
        <v>259</v>
      </c>
      <c r="B97" s="92" t="s">
        <v>255</v>
      </c>
      <c r="C97" s="92" t="s">
        <v>256</v>
      </c>
      <c r="D97" s="92" t="s">
        <v>246</v>
      </c>
      <c r="E97" s="4" t="s">
        <v>257</v>
      </c>
    </row>
    <row r="98" spans="1:5" x14ac:dyDescent="0.25">
      <c r="A98" t="s">
        <v>267</v>
      </c>
      <c r="B98" s="92">
        <v>5.2</v>
      </c>
      <c r="C98" s="92">
        <v>3.2</v>
      </c>
      <c r="D98" s="92">
        <f>C98*B98</f>
        <v>16.64</v>
      </c>
      <c r="E98" s="4" t="s">
        <v>247</v>
      </c>
    </row>
    <row r="100" spans="1:5" x14ac:dyDescent="0.25">
      <c r="A100" s="9" t="s">
        <v>310</v>
      </c>
      <c r="D100" s="94">
        <f>SUM(D102)</f>
        <v>9.18</v>
      </c>
      <c r="E100" s="95" t="s">
        <v>247</v>
      </c>
    </row>
    <row r="101" spans="1:5" x14ac:dyDescent="0.25">
      <c r="A101" t="s">
        <v>259</v>
      </c>
      <c r="B101" s="92" t="s">
        <v>255</v>
      </c>
      <c r="C101" s="92" t="s">
        <v>256</v>
      </c>
      <c r="D101" s="92" t="s">
        <v>246</v>
      </c>
      <c r="E101" s="4" t="s">
        <v>257</v>
      </c>
    </row>
    <row r="102" spans="1:5" x14ac:dyDescent="0.25">
      <c r="A102" t="s">
        <v>267</v>
      </c>
      <c r="B102" s="92" t="s">
        <v>254</v>
      </c>
      <c r="D102" s="92">
        <v>9.18</v>
      </c>
      <c r="E102" s="4" t="s">
        <v>247</v>
      </c>
    </row>
    <row r="104" spans="1:5" x14ac:dyDescent="0.25">
      <c r="A104" s="9" t="s">
        <v>311</v>
      </c>
      <c r="D104" s="94">
        <f>SUM(D106:D108)</f>
        <v>30.599999999999998</v>
      </c>
      <c r="E104" s="95" t="s">
        <v>247</v>
      </c>
    </row>
    <row r="105" spans="1:5" x14ac:dyDescent="0.25">
      <c r="A105" t="s">
        <v>259</v>
      </c>
      <c r="B105" s="92" t="s">
        <v>255</v>
      </c>
      <c r="C105" s="92" t="s">
        <v>256</v>
      </c>
      <c r="D105" s="92" t="s">
        <v>246</v>
      </c>
      <c r="E105" s="4" t="s">
        <v>257</v>
      </c>
    </row>
    <row r="106" spans="1:5" x14ac:dyDescent="0.25">
      <c r="A106" t="s">
        <v>267</v>
      </c>
      <c r="B106" s="92" t="s">
        <v>254</v>
      </c>
      <c r="D106" s="92">
        <v>23.4</v>
      </c>
      <c r="E106" s="4" t="s">
        <v>247</v>
      </c>
    </row>
    <row r="107" spans="1:5" x14ac:dyDescent="0.25">
      <c r="A107" t="s">
        <v>312</v>
      </c>
      <c r="B107" s="92">
        <v>2</v>
      </c>
      <c r="C107" s="92">
        <v>0.6</v>
      </c>
      <c r="D107" s="92">
        <f>(B107*C107)*2</f>
        <v>2.4</v>
      </c>
      <c r="E107" s="4" t="s">
        <v>247</v>
      </c>
    </row>
    <row r="108" spans="1:5" x14ac:dyDescent="0.25">
      <c r="A108" t="s">
        <v>313</v>
      </c>
      <c r="B108" s="92">
        <v>2</v>
      </c>
      <c r="C108" s="92">
        <v>0.6</v>
      </c>
      <c r="D108" s="92">
        <f>(B108*C108)*4</f>
        <v>4.8</v>
      </c>
      <c r="E108" s="4" t="s">
        <v>247</v>
      </c>
    </row>
    <row r="110" spans="1:5" x14ac:dyDescent="0.25">
      <c r="A110" s="9" t="s">
        <v>315</v>
      </c>
      <c r="D110" s="94">
        <f>SUM(D112)</f>
        <v>39.330000000000005</v>
      </c>
      <c r="E110" s="95" t="s">
        <v>247</v>
      </c>
    </row>
    <row r="111" spans="1:5" x14ac:dyDescent="0.25">
      <c r="A111" t="s">
        <v>259</v>
      </c>
      <c r="B111" s="92" t="s">
        <v>255</v>
      </c>
      <c r="C111" s="92" t="s">
        <v>256</v>
      </c>
      <c r="D111" s="92" t="s">
        <v>246</v>
      </c>
      <c r="E111" s="4" t="s">
        <v>257</v>
      </c>
    </row>
    <row r="112" spans="1:5" x14ac:dyDescent="0.25">
      <c r="A112" t="s">
        <v>267</v>
      </c>
      <c r="B112" s="92">
        <v>6.9</v>
      </c>
      <c r="C112" s="92">
        <v>5.7</v>
      </c>
      <c r="D112" s="92">
        <f>C112*B112</f>
        <v>39.330000000000005</v>
      </c>
      <c r="E112" s="4" t="s">
        <v>247</v>
      </c>
    </row>
    <row r="114" spans="1:6" x14ac:dyDescent="0.25">
      <c r="A114" s="9" t="s">
        <v>317</v>
      </c>
      <c r="E114" s="94">
        <f>E116+E117+E118+E119+E122+E123+E124+E125+E128+E129+E130+E131+E132+E133+E134+E135+D139</f>
        <v>285.92</v>
      </c>
      <c r="F114" s="95" t="s">
        <v>247</v>
      </c>
    </row>
    <row r="115" spans="1:6" x14ac:dyDescent="0.25">
      <c r="A115" t="s">
        <v>259</v>
      </c>
      <c r="B115" s="92" t="s">
        <v>255</v>
      </c>
      <c r="C115" s="92" t="s">
        <v>256</v>
      </c>
      <c r="D115" s="92" t="s">
        <v>261</v>
      </c>
      <c r="E115" s="4" t="s">
        <v>246</v>
      </c>
      <c r="F115" s="92" t="s">
        <v>257</v>
      </c>
    </row>
    <row r="116" spans="1:6" x14ac:dyDescent="0.25">
      <c r="A116" t="s">
        <v>280</v>
      </c>
      <c r="B116" s="92">
        <v>0.25</v>
      </c>
      <c r="C116" s="92">
        <v>5.7</v>
      </c>
      <c r="D116" s="92">
        <v>2</v>
      </c>
      <c r="E116" s="4">
        <f>D116*C116*B116</f>
        <v>2.85</v>
      </c>
      <c r="F116" s="4" t="s">
        <v>247</v>
      </c>
    </row>
    <row r="117" spans="1:6" x14ac:dyDescent="0.25">
      <c r="A117" t="s">
        <v>281</v>
      </c>
      <c r="B117" s="92">
        <v>0.25</v>
      </c>
      <c r="C117" s="92">
        <v>10</v>
      </c>
      <c r="D117" s="92">
        <v>2</v>
      </c>
      <c r="E117" s="4">
        <f t="shared" ref="E117:E119" si="5">D117*C117*B117</f>
        <v>5</v>
      </c>
      <c r="F117" s="4" t="s">
        <v>247</v>
      </c>
    </row>
    <row r="118" spans="1:6" x14ac:dyDescent="0.25">
      <c r="A118" t="s">
        <v>282</v>
      </c>
      <c r="B118" s="92">
        <v>0.25</v>
      </c>
      <c r="C118" s="92">
        <v>12</v>
      </c>
      <c r="D118" s="92">
        <v>2</v>
      </c>
      <c r="E118" s="4">
        <f t="shared" si="5"/>
        <v>6</v>
      </c>
      <c r="F118" s="4" t="s">
        <v>247</v>
      </c>
    </row>
    <row r="119" spans="1:6" x14ac:dyDescent="0.25">
      <c r="A119" t="s">
        <v>283</v>
      </c>
      <c r="B119" s="92">
        <v>0.25</v>
      </c>
      <c r="C119" s="92">
        <v>12.6</v>
      </c>
      <c r="D119" s="92">
        <v>1</v>
      </c>
      <c r="E119" s="4">
        <f t="shared" si="5"/>
        <v>3.15</v>
      </c>
      <c r="F119" s="4" t="s">
        <v>247</v>
      </c>
    </row>
    <row r="121" spans="1:6" x14ac:dyDescent="0.25">
      <c r="A121" t="s">
        <v>259</v>
      </c>
      <c r="B121" s="92" t="s">
        <v>255</v>
      </c>
      <c r="C121" s="92" t="s">
        <v>256</v>
      </c>
      <c r="D121" s="92" t="s">
        <v>261</v>
      </c>
      <c r="E121" s="4" t="s">
        <v>246</v>
      </c>
      <c r="F121" s="92" t="s">
        <v>257</v>
      </c>
    </row>
    <row r="122" spans="1:6" x14ac:dyDescent="0.25">
      <c r="A122" t="s">
        <v>284</v>
      </c>
      <c r="B122" s="92">
        <v>0.4</v>
      </c>
      <c r="C122" s="92">
        <v>5.7</v>
      </c>
      <c r="D122" s="92">
        <v>4</v>
      </c>
      <c r="E122" s="4">
        <f>D122*C122*B122</f>
        <v>9.120000000000001</v>
      </c>
      <c r="F122" s="4" t="s">
        <v>247</v>
      </c>
    </row>
    <row r="123" spans="1:6" x14ac:dyDescent="0.25">
      <c r="A123" t="s">
        <v>285</v>
      </c>
      <c r="B123" s="92">
        <v>0.4</v>
      </c>
      <c r="C123" s="92">
        <v>10</v>
      </c>
      <c r="D123" s="92">
        <v>4</v>
      </c>
      <c r="E123" s="4">
        <f t="shared" ref="E123:E125" si="6">D123*C123*B123</f>
        <v>16</v>
      </c>
      <c r="F123" s="4" t="s">
        <v>247</v>
      </c>
    </row>
    <row r="124" spans="1:6" x14ac:dyDescent="0.25">
      <c r="A124" t="s">
        <v>286</v>
      </c>
      <c r="B124" s="92">
        <v>0.4</v>
      </c>
      <c r="C124" s="92">
        <v>12</v>
      </c>
      <c r="D124" s="92">
        <v>4</v>
      </c>
      <c r="E124" s="4">
        <f t="shared" si="6"/>
        <v>19.200000000000003</v>
      </c>
      <c r="F124" s="4" t="s">
        <v>247</v>
      </c>
    </row>
    <row r="125" spans="1:6" x14ac:dyDescent="0.25">
      <c r="A125" t="s">
        <v>287</v>
      </c>
      <c r="B125" s="92">
        <v>0.4</v>
      </c>
      <c r="C125" s="92">
        <v>12.6</v>
      </c>
      <c r="D125" s="92">
        <v>2</v>
      </c>
      <c r="E125" s="4">
        <f t="shared" si="6"/>
        <v>10.08</v>
      </c>
      <c r="F125" s="4" t="s">
        <v>247</v>
      </c>
    </row>
    <row r="127" spans="1:6" x14ac:dyDescent="0.25">
      <c r="A127" t="s">
        <v>259</v>
      </c>
      <c r="B127" s="92" t="s">
        <v>255</v>
      </c>
      <c r="C127" s="92" t="s">
        <v>256</v>
      </c>
      <c r="D127" s="92" t="s">
        <v>261</v>
      </c>
      <c r="E127" s="4" t="s">
        <v>246</v>
      </c>
      <c r="F127" s="92" t="s">
        <v>257</v>
      </c>
    </row>
    <row r="128" spans="1:6" x14ac:dyDescent="0.25">
      <c r="A128" t="s">
        <v>288</v>
      </c>
      <c r="B128" s="92">
        <v>29.1</v>
      </c>
      <c r="C128" s="92">
        <v>0.3</v>
      </c>
      <c r="D128" s="92">
        <v>1</v>
      </c>
      <c r="E128" s="4">
        <f t="shared" ref="E128:E135" si="7">D128*C128*B128</f>
        <v>8.73</v>
      </c>
      <c r="F128" s="4" t="s">
        <v>247</v>
      </c>
    </row>
    <row r="129" spans="1:6" x14ac:dyDescent="0.25">
      <c r="A129" t="s">
        <v>289</v>
      </c>
      <c r="B129" s="92">
        <v>29.1</v>
      </c>
      <c r="C129" s="92">
        <v>0.2</v>
      </c>
      <c r="D129" s="92">
        <v>2</v>
      </c>
      <c r="E129" s="4">
        <f t="shared" si="7"/>
        <v>11.64</v>
      </c>
      <c r="F129" s="4" t="s">
        <v>247</v>
      </c>
    </row>
    <row r="130" spans="1:6" x14ac:dyDescent="0.25">
      <c r="A130" t="s">
        <v>290</v>
      </c>
      <c r="B130" s="92">
        <v>26.6</v>
      </c>
      <c r="C130" s="92">
        <v>0.3</v>
      </c>
      <c r="D130" s="92">
        <v>1</v>
      </c>
      <c r="E130" s="4">
        <f t="shared" si="7"/>
        <v>7.98</v>
      </c>
      <c r="F130" s="4" t="s">
        <v>247</v>
      </c>
    </row>
    <row r="131" spans="1:6" x14ac:dyDescent="0.25">
      <c r="A131" t="s">
        <v>291</v>
      </c>
      <c r="B131" s="92">
        <v>26.6</v>
      </c>
      <c r="C131" s="92">
        <v>0.2</v>
      </c>
      <c r="D131" s="92">
        <v>2</v>
      </c>
      <c r="E131" s="4">
        <f t="shared" si="7"/>
        <v>10.64</v>
      </c>
      <c r="F131" s="4" t="s">
        <v>247</v>
      </c>
    </row>
    <row r="132" spans="1:6" x14ac:dyDescent="0.25">
      <c r="A132" t="s">
        <v>292</v>
      </c>
      <c r="B132" s="92">
        <v>19.399999999999999</v>
      </c>
      <c r="C132" s="92">
        <v>0.3</v>
      </c>
      <c r="D132" s="92">
        <v>1</v>
      </c>
      <c r="E132" s="4">
        <f t="shared" si="7"/>
        <v>5.8199999999999994</v>
      </c>
      <c r="F132" s="4" t="s">
        <v>247</v>
      </c>
    </row>
    <row r="133" spans="1:6" x14ac:dyDescent="0.25">
      <c r="A133" t="s">
        <v>293</v>
      </c>
      <c r="B133" s="92">
        <v>19.399999999999999</v>
      </c>
      <c r="C133" s="92">
        <v>0.2</v>
      </c>
      <c r="D133" s="92">
        <v>2</v>
      </c>
      <c r="E133" s="4">
        <f t="shared" si="7"/>
        <v>7.76</v>
      </c>
      <c r="F133" s="4" t="s">
        <v>247</v>
      </c>
    </row>
    <row r="134" spans="1:6" x14ac:dyDescent="0.25">
      <c r="A134" t="s">
        <v>294</v>
      </c>
      <c r="B134" s="92">
        <v>34.5</v>
      </c>
      <c r="C134" s="92">
        <v>0.3</v>
      </c>
      <c r="D134" s="92">
        <v>1</v>
      </c>
      <c r="E134" s="4">
        <f t="shared" si="7"/>
        <v>10.35</v>
      </c>
      <c r="F134" s="4" t="s">
        <v>247</v>
      </c>
    </row>
    <row r="135" spans="1:6" x14ac:dyDescent="0.25">
      <c r="A135" t="s">
        <v>295</v>
      </c>
      <c r="B135" s="92">
        <v>34.5</v>
      </c>
      <c r="C135" s="92">
        <v>0.2</v>
      </c>
      <c r="D135" s="92">
        <v>1</v>
      </c>
      <c r="E135" s="4">
        <f t="shared" si="7"/>
        <v>6.9</v>
      </c>
      <c r="F135" s="4" t="s">
        <v>247</v>
      </c>
    </row>
    <row r="136" spans="1:6" x14ac:dyDescent="0.25">
      <c r="E136" s="4"/>
      <c r="F136" s="4"/>
    </row>
    <row r="137" spans="1:6" x14ac:dyDescent="0.25">
      <c r="A137" t="s">
        <v>259</v>
      </c>
      <c r="B137" s="92" t="s">
        <v>255</v>
      </c>
      <c r="C137" s="92" t="s">
        <v>256</v>
      </c>
      <c r="D137" s="4" t="s">
        <v>246</v>
      </c>
      <c r="E137" s="92" t="s">
        <v>257</v>
      </c>
      <c r="F137" s="4"/>
    </row>
    <row r="138" spans="1:6" x14ac:dyDescent="0.25">
      <c r="A138" t="s">
        <v>296</v>
      </c>
      <c r="B138" s="92" t="s">
        <v>254</v>
      </c>
      <c r="D138" s="96">
        <v>103.55</v>
      </c>
      <c r="E138" s="96" t="s">
        <v>247</v>
      </c>
      <c r="F138" s="4"/>
    </row>
    <row r="139" spans="1:6" x14ac:dyDescent="0.25">
      <c r="A139" t="s">
        <v>297</v>
      </c>
      <c r="B139" s="92" t="s">
        <v>254</v>
      </c>
      <c r="D139" s="92">
        <v>144.69999999999999</v>
      </c>
      <c r="E139" s="4" t="s">
        <v>247</v>
      </c>
      <c r="F139" s="4"/>
    </row>
    <row r="140" spans="1:6" x14ac:dyDescent="0.25">
      <c r="E140" s="4"/>
      <c r="F140" s="4"/>
    </row>
    <row r="141" spans="1:6" x14ac:dyDescent="0.25">
      <c r="A141" s="9" t="s">
        <v>318</v>
      </c>
      <c r="D141" s="94">
        <f>SUM(D143)</f>
        <v>39.330000000000005</v>
      </c>
      <c r="E141" s="95" t="s">
        <v>247</v>
      </c>
    </row>
    <row r="142" spans="1:6" x14ac:dyDescent="0.25">
      <c r="A142" t="s">
        <v>259</v>
      </c>
      <c r="B142" s="92" t="s">
        <v>255</v>
      </c>
      <c r="C142" s="92" t="s">
        <v>256</v>
      </c>
      <c r="D142" s="92" t="s">
        <v>246</v>
      </c>
      <c r="E142" s="4" t="s">
        <v>257</v>
      </c>
    </row>
    <row r="143" spans="1:6" x14ac:dyDescent="0.25">
      <c r="A143" t="s">
        <v>267</v>
      </c>
      <c r="B143" s="92">
        <v>6.9</v>
      </c>
      <c r="C143" s="92">
        <v>5.7</v>
      </c>
      <c r="D143" s="92">
        <f>C143*B143</f>
        <v>39.330000000000005</v>
      </c>
      <c r="E143" s="4" t="s">
        <v>247</v>
      </c>
    </row>
    <row r="145" spans="1:5" x14ac:dyDescent="0.25">
      <c r="A145" s="9" t="s">
        <v>320</v>
      </c>
      <c r="D145" s="94">
        <f>SUM(D147:D149)</f>
        <v>42.61</v>
      </c>
      <c r="E145" s="95" t="s">
        <v>247</v>
      </c>
    </row>
    <row r="146" spans="1:5" x14ac:dyDescent="0.25">
      <c r="A146" t="s">
        <v>259</v>
      </c>
      <c r="B146" s="92" t="s">
        <v>255</v>
      </c>
      <c r="C146" s="92" t="s">
        <v>256</v>
      </c>
      <c r="D146" s="92" t="s">
        <v>246</v>
      </c>
      <c r="E146" s="4" t="s">
        <v>257</v>
      </c>
    </row>
    <row r="147" spans="1:5" x14ac:dyDescent="0.25">
      <c r="A147" t="s">
        <v>267</v>
      </c>
      <c r="B147" s="92" t="s">
        <v>254</v>
      </c>
      <c r="D147" s="92">
        <v>32.6</v>
      </c>
      <c r="E147" s="4" t="s">
        <v>247</v>
      </c>
    </row>
    <row r="148" spans="1:5" x14ac:dyDescent="0.25">
      <c r="A148" t="s">
        <v>252</v>
      </c>
      <c r="B148" s="92">
        <v>7.7</v>
      </c>
      <c r="C148" s="92">
        <v>0.7</v>
      </c>
      <c r="D148" s="92">
        <f>B148*C148</f>
        <v>5.39</v>
      </c>
      <c r="E148" s="4" t="s">
        <v>247</v>
      </c>
    </row>
    <row r="149" spans="1:5" x14ac:dyDescent="0.25">
      <c r="A149" t="s">
        <v>253</v>
      </c>
      <c r="B149" s="92">
        <v>7.7</v>
      </c>
      <c r="C149" s="92">
        <v>0.6</v>
      </c>
      <c r="D149" s="92">
        <f>B149*C149</f>
        <v>4.62</v>
      </c>
      <c r="E149" s="4" t="s">
        <v>247</v>
      </c>
    </row>
    <row r="151" spans="1:5" x14ac:dyDescent="0.25">
      <c r="A151" s="9" t="s">
        <v>321</v>
      </c>
      <c r="D151" s="94">
        <f>SUM(D153:D155)</f>
        <v>23.779999999999998</v>
      </c>
      <c r="E151" s="95" t="s">
        <v>247</v>
      </c>
    </row>
    <row r="152" spans="1:5" x14ac:dyDescent="0.25">
      <c r="A152" t="s">
        <v>259</v>
      </c>
      <c r="B152" s="92" t="s">
        <v>255</v>
      </c>
      <c r="C152" s="92" t="s">
        <v>256</v>
      </c>
      <c r="D152" s="92" t="s">
        <v>246</v>
      </c>
      <c r="E152" s="4" t="s">
        <v>257</v>
      </c>
    </row>
    <row r="153" spans="1:5" x14ac:dyDescent="0.25">
      <c r="A153" t="s">
        <v>267</v>
      </c>
      <c r="B153" s="92">
        <v>5.8</v>
      </c>
      <c r="C153" s="92">
        <v>2.8</v>
      </c>
      <c r="D153" s="92">
        <f>C153*B153</f>
        <v>16.239999999999998</v>
      </c>
      <c r="E153" s="4" t="s">
        <v>247</v>
      </c>
    </row>
    <row r="154" spans="1:5" x14ac:dyDescent="0.25">
      <c r="A154" t="s">
        <v>252</v>
      </c>
      <c r="B154" s="92">
        <v>5.8</v>
      </c>
      <c r="C154" s="92">
        <v>0.7</v>
      </c>
      <c r="D154" s="92">
        <f>B154*C154</f>
        <v>4.0599999999999996</v>
      </c>
      <c r="E154" s="4" t="s">
        <v>247</v>
      </c>
    </row>
    <row r="155" spans="1:5" x14ac:dyDescent="0.25">
      <c r="A155" t="s">
        <v>253</v>
      </c>
      <c r="B155" s="92">
        <v>5.8</v>
      </c>
      <c r="C155" s="92">
        <v>0.6</v>
      </c>
      <c r="D155" s="92">
        <f>B155*C155</f>
        <v>3.48</v>
      </c>
      <c r="E155" s="4" t="s">
        <v>247</v>
      </c>
    </row>
    <row r="157" spans="1:5" x14ac:dyDescent="0.25">
      <c r="A157" s="9" t="s">
        <v>322</v>
      </c>
      <c r="D157" s="94">
        <f>SUM(D159:D161)</f>
        <v>80.990000000000009</v>
      </c>
      <c r="E157" s="95" t="s">
        <v>247</v>
      </c>
    </row>
    <row r="158" spans="1:5" x14ac:dyDescent="0.25">
      <c r="A158" t="s">
        <v>259</v>
      </c>
      <c r="B158" s="92" t="s">
        <v>255</v>
      </c>
      <c r="C158" s="92" t="s">
        <v>256</v>
      </c>
      <c r="D158" s="92" t="s">
        <v>246</v>
      </c>
      <c r="E158" s="4" t="s">
        <v>257</v>
      </c>
    </row>
    <row r="159" spans="1:5" x14ac:dyDescent="0.25">
      <c r="A159" t="s">
        <v>267</v>
      </c>
      <c r="B159" s="92" t="s">
        <v>254</v>
      </c>
      <c r="D159" s="92">
        <v>79.45</v>
      </c>
      <c r="E159" s="4" t="s">
        <v>247</v>
      </c>
    </row>
    <row r="160" spans="1:5" x14ac:dyDescent="0.25">
      <c r="A160" t="s">
        <v>252</v>
      </c>
      <c r="B160" s="92" t="s">
        <v>254</v>
      </c>
      <c r="D160" s="92">
        <v>0.7</v>
      </c>
      <c r="E160" s="4" t="s">
        <v>247</v>
      </c>
    </row>
    <row r="161" spans="1:6" x14ac:dyDescent="0.25">
      <c r="A161" t="s">
        <v>253</v>
      </c>
      <c r="B161" s="92">
        <v>2.8</v>
      </c>
      <c r="C161" s="92">
        <v>0.3</v>
      </c>
      <c r="D161" s="92">
        <f>B161*C161</f>
        <v>0.84</v>
      </c>
      <c r="E161" s="4" t="s">
        <v>247</v>
      </c>
    </row>
    <row r="162" spans="1:6" x14ac:dyDescent="0.25">
      <c r="E162" s="4"/>
    </row>
    <row r="163" spans="1:6" x14ac:dyDescent="0.25">
      <c r="A163" s="9" t="s">
        <v>638</v>
      </c>
      <c r="D163" s="94">
        <f>E165+E166+E167</f>
        <v>45.239999999999995</v>
      </c>
      <c r="E163" s="95" t="s">
        <v>247</v>
      </c>
    </row>
    <row r="164" spans="1:6" x14ac:dyDescent="0.25">
      <c r="A164" t="s">
        <v>259</v>
      </c>
      <c r="B164" s="92" t="s">
        <v>255</v>
      </c>
      <c r="C164" s="92" t="s">
        <v>256</v>
      </c>
      <c r="D164" s="92" t="s">
        <v>261</v>
      </c>
      <c r="E164" s="92" t="s">
        <v>246</v>
      </c>
      <c r="F164" s="4" t="s">
        <v>257</v>
      </c>
    </row>
    <row r="165" spans="1:6" x14ac:dyDescent="0.25">
      <c r="A165" t="s">
        <v>297</v>
      </c>
      <c r="B165" s="92">
        <v>2.8</v>
      </c>
      <c r="C165" s="92">
        <v>2</v>
      </c>
      <c r="D165" s="92">
        <v>4</v>
      </c>
      <c r="E165" s="4">
        <f>D165*C165*B165</f>
        <v>22.4</v>
      </c>
      <c r="F165" s="4" t="s">
        <v>247</v>
      </c>
    </row>
    <row r="166" spans="1:6" x14ac:dyDescent="0.25">
      <c r="A166" t="s">
        <v>639</v>
      </c>
      <c r="B166" s="92">
        <v>1</v>
      </c>
      <c r="C166" s="92">
        <v>3.75</v>
      </c>
      <c r="D166" s="92">
        <v>4</v>
      </c>
      <c r="E166" s="4">
        <f>D166*C166*B166</f>
        <v>15</v>
      </c>
      <c r="F166" s="4" t="s">
        <v>247</v>
      </c>
    </row>
    <row r="167" spans="1:6" x14ac:dyDescent="0.25">
      <c r="A167" t="s">
        <v>640</v>
      </c>
      <c r="B167" s="92">
        <v>2.8</v>
      </c>
      <c r="C167" s="92">
        <v>2.8</v>
      </c>
      <c r="E167" s="4">
        <f>B167*C167</f>
        <v>7.839999999999999</v>
      </c>
      <c r="F167" s="4" t="s">
        <v>247</v>
      </c>
    </row>
    <row r="168" spans="1:6" x14ac:dyDescent="0.25">
      <c r="E168" s="4"/>
    </row>
    <row r="170" spans="1:6" x14ac:dyDescent="0.25">
      <c r="A170" s="97" t="s">
        <v>323</v>
      </c>
      <c r="B170" s="98"/>
      <c r="C170" s="98"/>
      <c r="D170" s="98">
        <f>D157+D151+D145+D141+E114+D110+D104+D100+D96+D92+D88+D84+D80+D76+D72+D68+E41+D37+D31+D25+D19+D13+D7+D1+D163</f>
        <v>1273.8025</v>
      </c>
      <c r="E170" s="99" t="s">
        <v>16</v>
      </c>
    </row>
    <row r="171" spans="1:6" x14ac:dyDescent="0.25">
      <c r="A171" s="100" t="s">
        <v>324</v>
      </c>
      <c r="B171" s="101"/>
      <c r="C171" s="101"/>
      <c r="D171" s="101">
        <f>D138+D65</f>
        <v>207.1</v>
      </c>
      <c r="E171" s="102" t="s">
        <v>16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5"/>
  <sheetViews>
    <sheetView workbookViewId="0">
      <selection activeCell="C10" sqref="C10"/>
    </sheetView>
  </sheetViews>
  <sheetFormatPr defaultRowHeight="15" x14ac:dyDescent="0.25"/>
  <cols>
    <col min="1" max="1" width="15.42578125" customWidth="1"/>
    <col min="2" max="2" width="18.28515625" style="4" customWidth="1"/>
    <col min="3" max="3" width="63.85546875" customWidth="1"/>
    <col min="6" max="6" width="18.28515625" customWidth="1"/>
    <col min="7" max="7" width="18.7109375" style="4" customWidth="1"/>
  </cols>
  <sheetData>
    <row r="1" spans="1:7" ht="30" customHeight="1" x14ac:dyDescent="0.25">
      <c r="A1" s="271"/>
      <c r="B1" s="271"/>
      <c r="C1" s="271"/>
      <c r="D1" s="271"/>
      <c r="E1" s="271"/>
      <c r="F1" s="271"/>
    </row>
    <row r="2" spans="1:7" ht="33.75" customHeight="1" x14ac:dyDescent="0.25">
      <c r="A2" s="47" t="s">
        <v>3</v>
      </c>
      <c r="B2" s="47" t="s">
        <v>4</v>
      </c>
      <c r="C2" s="47" t="s">
        <v>5</v>
      </c>
      <c r="D2" s="47" t="s">
        <v>81</v>
      </c>
      <c r="E2" s="47" t="s">
        <v>82</v>
      </c>
      <c r="F2" s="48" t="s">
        <v>83</v>
      </c>
      <c r="G2" s="47" t="s">
        <v>140</v>
      </c>
    </row>
    <row r="3" spans="1:7" x14ac:dyDescent="0.25">
      <c r="A3" s="54" t="s">
        <v>84</v>
      </c>
      <c r="B3" s="55" t="s">
        <v>79</v>
      </c>
      <c r="C3" s="56" t="s">
        <v>80</v>
      </c>
      <c r="D3" s="55" t="s">
        <v>16</v>
      </c>
      <c r="E3" s="55"/>
      <c r="F3" s="57"/>
      <c r="G3" s="58"/>
    </row>
    <row r="4" spans="1:7" x14ac:dyDescent="0.25">
      <c r="A4" s="50" t="s">
        <v>75</v>
      </c>
      <c r="B4" s="50" t="s">
        <v>85</v>
      </c>
      <c r="C4" s="51" t="s">
        <v>86</v>
      </c>
      <c r="D4" s="50" t="s">
        <v>87</v>
      </c>
      <c r="E4" s="50">
        <v>9.8799999999999999E-2</v>
      </c>
      <c r="F4" s="52">
        <f>37.67*E4</f>
        <v>3.7217960000000003</v>
      </c>
      <c r="G4" s="58">
        <v>37.67</v>
      </c>
    </row>
    <row r="5" spans="1:7" x14ac:dyDescent="0.25">
      <c r="A5" s="50" t="s">
        <v>75</v>
      </c>
      <c r="B5" s="50" t="s">
        <v>89</v>
      </c>
      <c r="C5" s="51" t="s">
        <v>88</v>
      </c>
      <c r="D5" s="50" t="s">
        <v>6</v>
      </c>
      <c r="E5" s="50">
        <v>0.2452</v>
      </c>
      <c r="F5" s="52">
        <f>0.72*E5</f>
        <v>0.17654400000000001</v>
      </c>
      <c r="G5" s="58">
        <v>0.72</v>
      </c>
    </row>
    <row r="6" spans="1:7" x14ac:dyDescent="0.25">
      <c r="A6" s="50" t="s">
        <v>0</v>
      </c>
      <c r="B6" s="50">
        <v>88262</v>
      </c>
      <c r="C6" s="51" t="s">
        <v>90</v>
      </c>
      <c r="D6" s="50" t="s">
        <v>91</v>
      </c>
      <c r="E6" s="50">
        <v>0.52110000000000001</v>
      </c>
      <c r="F6" s="52">
        <f>33.62*E6</f>
        <v>17.519382</v>
      </c>
      <c r="G6" s="58">
        <v>33.619999999999997</v>
      </c>
    </row>
    <row r="7" spans="1:7" x14ac:dyDescent="0.25">
      <c r="A7" s="50" t="s">
        <v>0</v>
      </c>
      <c r="B7" s="50">
        <v>88316</v>
      </c>
      <c r="C7" s="51" t="s">
        <v>92</v>
      </c>
      <c r="D7" s="50" t="s">
        <v>91</v>
      </c>
      <c r="E7" s="50">
        <v>0.21709999999999999</v>
      </c>
      <c r="F7" s="52">
        <f>29.77*E7</f>
        <v>6.4630669999999997</v>
      </c>
      <c r="G7" s="58">
        <v>29.77</v>
      </c>
    </row>
    <row r="8" spans="1:7" ht="30" x14ac:dyDescent="0.25">
      <c r="A8" s="2" t="s">
        <v>0</v>
      </c>
      <c r="B8" s="2">
        <v>95276</v>
      </c>
      <c r="C8" s="1" t="s">
        <v>93</v>
      </c>
      <c r="D8" s="2" t="s">
        <v>94</v>
      </c>
      <c r="E8" s="2">
        <v>0.15509999999999999</v>
      </c>
      <c r="F8" s="53">
        <f>3.08*E8</f>
        <v>0.47770799999999997</v>
      </c>
      <c r="G8" s="58">
        <v>3.08</v>
      </c>
    </row>
    <row r="9" spans="1:7" ht="30" x14ac:dyDescent="0.25">
      <c r="A9" s="2" t="s">
        <v>0</v>
      </c>
      <c r="B9" s="2">
        <v>95277</v>
      </c>
      <c r="C9" s="1" t="s">
        <v>95</v>
      </c>
      <c r="D9" s="2" t="s">
        <v>96</v>
      </c>
      <c r="E9" s="2">
        <v>5.3900000000000003E-2</v>
      </c>
      <c r="F9" s="53">
        <f>0.67*E9</f>
        <v>3.6113000000000006E-2</v>
      </c>
      <c r="G9" s="58">
        <v>0.67</v>
      </c>
    </row>
    <row r="10" spans="1:7" x14ac:dyDescent="0.25">
      <c r="A10" s="4"/>
      <c r="D10" s="272" t="s">
        <v>141</v>
      </c>
      <c r="E10" s="273"/>
      <c r="F10" s="65">
        <f>SUM(F4:F9)</f>
        <v>28.39461</v>
      </c>
      <c r="G10" s="182"/>
    </row>
    <row r="11" spans="1:7" x14ac:dyDescent="0.25">
      <c r="A11" s="4"/>
      <c r="D11" s="4"/>
      <c r="E11" s="4"/>
      <c r="F11" s="49"/>
    </row>
    <row r="12" spans="1:7" x14ac:dyDescent="0.25">
      <c r="A12" s="4"/>
      <c r="D12" s="4"/>
      <c r="E12" s="4"/>
      <c r="F12" s="49"/>
    </row>
    <row r="13" spans="1:7" x14ac:dyDescent="0.25">
      <c r="A13" s="4"/>
      <c r="D13" s="4"/>
      <c r="E13" s="4"/>
      <c r="F13" s="49"/>
    </row>
    <row r="14" spans="1:7" x14ac:dyDescent="0.25">
      <c r="A14" s="4"/>
      <c r="D14" s="4"/>
      <c r="E14" s="4"/>
      <c r="F14" s="49"/>
    </row>
    <row r="15" spans="1:7" x14ac:dyDescent="0.25">
      <c r="A15" s="4"/>
      <c r="D15" s="4"/>
      <c r="E15" s="4"/>
      <c r="F15" s="49"/>
    </row>
    <row r="16" spans="1:7" x14ac:dyDescent="0.25">
      <c r="A16" s="4"/>
      <c r="D16" s="4"/>
      <c r="E16" s="4"/>
      <c r="F16" s="49"/>
    </row>
    <row r="17" spans="1:6" x14ac:dyDescent="0.25">
      <c r="A17" s="4"/>
      <c r="D17" s="4"/>
      <c r="E17" s="4"/>
      <c r="F17" s="49"/>
    </row>
    <row r="18" spans="1:6" x14ac:dyDescent="0.25">
      <c r="A18" s="4"/>
      <c r="D18" s="4"/>
      <c r="E18" s="4"/>
      <c r="F18" s="49"/>
    </row>
    <row r="19" spans="1:6" x14ac:dyDescent="0.25">
      <c r="A19" s="4"/>
      <c r="D19" s="4"/>
      <c r="E19" s="4"/>
      <c r="F19" s="4"/>
    </row>
    <row r="20" spans="1:6" x14ac:dyDescent="0.25">
      <c r="A20" s="4"/>
      <c r="D20" s="4"/>
      <c r="E20" s="4"/>
      <c r="F20" s="4"/>
    </row>
    <row r="21" spans="1:6" x14ac:dyDescent="0.25">
      <c r="A21" s="4"/>
      <c r="D21" s="4"/>
      <c r="E21" s="4"/>
      <c r="F21" s="4"/>
    </row>
    <row r="22" spans="1:6" x14ac:dyDescent="0.25">
      <c r="A22" s="4"/>
      <c r="D22" s="4"/>
      <c r="E22" s="4"/>
      <c r="F22" s="4"/>
    </row>
    <row r="23" spans="1:6" x14ac:dyDescent="0.25">
      <c r="A23" s="4"/>
      <c r="D23" s="4"/>
      <c r="E23" s="4"/>
      <c r="F23" s="4"/>
    </row>
    <row r="24" spans="1:6" x14ac:dyDescent="0.25">
      <c r="A24" s="4"/>
      <c r="D24" s="4"/>
      <c r="E24" s="4"/>
      <c r="F24" s="4"/>
    </row>
    <row r="25" spans="1:6" x14ac:dyDescent="0.25">
      <c r="A25" s="4"/>
    </row>
  </sheetData>
  <mergeCells count="2">
    <mergeCell ref="A1:F1"/>
    <mergeCell ref="D10: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4</vt:i4>
      </vt:variant>
    </vt:vector>
  </HeadingPairs>
  <TitlesOfParts>
    <vt:vector size="10" baseType="lpstr">
      <vt:lpstr>CRONOGRAMA</vt:lpstr>
      <vt:lpstr>Plan3 - ATUALIZADA</vt:lpstr>
      <vt:lpstr>MEMÓRIA CÁLCULO CONVÊNIO</vt:lpstr>
      <vt:lpstr>pintura área de luta</vt:lpstr>
      <vt:lpstr> pintura externa Ginásio</vt:lpstr>
      <vt:lpstr>composição CP 01</vt:lpstr>
      <vt:lpstr>' pintura externa Ginásio'!Area_de_impressao</vt:lpstr>
      <vt:lpstr>CRONOGRAMA!Area_de_impressao</vt:lpstr>
      <vt:lpstr>'MEMÓRIA CÁLCULO CONVÊNIO'!Area_de_impressao</vt:lpstr>
      <vt:lpstr>'Plan3 - ATUALIZADA'!Area_de_impressao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prefeitura</dc:creator>
  <cp:lastModifiedBy>Administração</cp:lastModifiedBy>
  <cp:lastPrinted>2025-08-28T14:19:11Z</cp:lastPrinted>
  <dcterms:created xsi:type="dcterms:W3CDTF">2023-11-24T16:02:11Z</dcterms:created>
  <dcterms:modified xsi:type="dcterms:W3CDTF">2025-09-12T13:38:44Z</dcterms:modified>
</cp:coreProperties>
</file>